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ceccarelli\Documents\YellowLight\Exhibits\"/>
    </mc:Choice>
  </mc:AlternateContent>
  <bookViews>
    <workbookView xWindow="345" yWindow="450" windowWidth="49350" windowHeight="10560"/>
  </bookViews>
  <sheets>
    <sheet name="Sheet1" sheetId="1" r:id="rId1"/>
    <sheet name="Sheet2" sheetId="2" r:id="rId2"/>
    <sheet name="Sheet3" sheetId="3" r:id="rId3"/>
  </sheets>
  <definedNames>
    <definedName name="_xlnm.Print_Titles" localSheetId="0">Sheet1!$A:$A</definedName>
  </definedNames>
  <calcPr calcId="152511"/>
</workbook>
</file>

<file path=xl/calcChain.xml><?xml version="1.0" encoding="utf-8"?>
<calcChain xmlns="http://schemas.openxmlformats.org/spreadsheetml/2006/main">
  <c r="I29" i="1" l="1"/>
  <c r="I27" i="1"/>
  <c r="W27" i="1" s="1"/>
  <c r="I25" i="1"/>
  <c r="I23" i="1"/>
  <c r="I21" i="1"/>
  <c r="W21" i="1" s="1"/>
  <c r="I19" i="1"/>
  <c r="I17" i="1"/>
  <c r="I15" i="1"/>
  <c r="I13" i="1"/>
  <c r="I11" i="1"/>
  <c r="L29" i="1"/>
  <c r="P29" i="1" s="1"/>
  <c r="J29" i="1"/>
  <c r="W29" i="1"/>
  <c r="H29" i="1"/>
  <c r="G29" i="1"/>
  <c r="F29" i="1"/>
  <c r="D29" i="1"/>
  <c r="L27" i="1"/>
  <c r="P27" i="1" s="1"/>
  <c r="Q27" i="1" s="1"/>
  <c r="R27" i="1" s="1"/>
  <c r="J27" i="1"/>
  <c r="H27" i="1"/>
  <c r="G27" i="1"/>
  <c r="F27" i="1"/>
  <c r="D27" i="1"/>
  <c r="L25" i="1"/>
  <c r="P25" i="1" s="1"/>
  <c r="J25" i="1"/>
  <c r="H25" i="1"/>
  <c r="G25" i="1"/>
  <c r="F25" i="1"/>
  <c r="D25" i="1"/>
  <c r="L23" i="1"/>
  <c r="P23" i="1" s="1"/>
  <c r="J23" i="1"/>
  <c r="H23" i="1"/>
  <c r="G23" i="1"/>
  <c r="F23" i="1"/>
  <c r="D23" i="1"/>
  <c r="L21" i="1"/>
  <c r="P21" i="1" s="1"/>
  <c r="Q21" i="1" s="1"/>
  <c r="R21" i="1" s="1"/>
  <c r="J21" i="1"/>
  <c r="K21" i="1" s="1"/>
  <c r="H21" i="1"/>
  <c r="G21" i="1"/>
  <c r="F21" i="1"/>
  <c r="D21" i="1"/>
  <c r="L19" i="1"/>
  <c r="P19" i="1" s="1"/>
  <c r="Q19" i="1" s="1"/>
  <c r="R19" i="1" s="1"/>
  <c r="J19" i="1"/>
  <c r="W19" i="1"/>
  <c r="H19" i="1"/>
  <c r="G19" i="1"/>
  <c r="F19" i="1"/>
  <c r="D19" i="1"/>
  <c r="L17" i="1"/>
  <c r="P17" i="1" s="1"/>
  <c r="Q17" i="1" s="1"/>
  <c r="R17" i="1" s="1"/>
  <c r="J17" i="1"/>
  <c r="H17" i="1"/>
  <c r="G17" i="1"/>
  <c r="F17" i="1"/>
  <c r="D17" i="1"/>
  <c r="L15" i="1"/>
  <c r="P15" i="1" s="1"/>
  <c r="J15" i="1"/>
  <c r="H15" i="1"/>
  <c r="G15" i="1"/>
  <c r="F15" i="1"/>
  <c r="D15" i="1"/>
  <c r="L13" i="1"/>
  <c r="P13" i="1" s="1"/>
  <c r="Q13" i="1" s="1"/>
  <c r="R13" i="1" s="1"/>
  <c r="J13" i="1"/>
  <c r="K13" i="1" s="1"/>
  <c r="W13" i="1"/>
  <c r="H13" i="1"/>
  <c r="G13" i="1"/>
  <c r="F13" i="1"/>
  <c r="D13" i="1"/>
  <c r="L30" i="1"/>
  <c r="P30" i="1" s="1"/>
  <c r="J30" i="1"/>
  <c r="I30" i="1"/>
  <c r="W30" i="1" s="1"/>
  <c r="H30" i="1"/>
  <c r="G30" i="1"/>
  <c r="F30" i="1"/>
  <c r="D30" i="1"/>
  <c r="L28" i="1"/>
  <c r="P28" i="1" s="1"/>
  <c r="J28" i="1"/>
  <c r="I28" i="1"/>
  <c r="Q28" i="1" s="1"/>
  <c r="R28" i="1" s="1"/>
  <c r="H28" i="1"/>
  <c r="G28" i="1"/>
  <c r="F28" i="1"/>
  <c r="D28" i="1"/>
  <c r="L26" i="1"/>
  <c r="P26" i="1" s="1"/>
  <c r="J26" i="1"/>
  <c r="I26" i="1"/>
  <c r="W26" i="1" s="1"/>
  <c r="H26" i="1"/>
  <c r="G26" i="1"/>
  <c r="F26" i="1"/>
  <c r="D26" i="1"/>
  <c r="L24" i="1"/>
  <c r="P24" i="1" s="1"/>
  <c r="J24" i="1"/>
  <c r="K24" i="1" s="1"/>
  <c r="I24" i="1"/>
  <c r="W24" i="1" s="1"/>
  <c r="H24" i="1"/>
  <c r="G24" i="1"/>
  <c r="F24" i="1"/>
  <c r="D24" i="1"/>
  <c r="L22" i="1"/>
  <c r="P22" i="1" s="1"/>
  <c r="J22" i="1"/>
  <c r="I22" i="1"/>
  <c r="H22" i="1"/>
  <c r="G22" i="1"/>
  <c r="F22" i="1"/>
  <c r="D22" i="1"/>
  <c r="L20" i="1"/>
  <c r="P20" i="1" s="1"/>
  <c r="J20" i="1"/>
  <c r="I20" i="1"/>
  <c r="W20" i="1" s="1"/>
  <c r="H20" i="1"/>
  <c r="G20" i="1"/>
  <c r="F20" i="1"/>
  <c r="D20" i="1"/>
  <c r="L18" i="1"/>
  <c r="O18" i="1" s="1"/>
  <c r="J18" i="1"/>
  <c r="I18" i="1"/>
  <c r="W18" i="1" s="1"/>
  <c r="H18" i="1"/>
  <c r="G18" i="1"/>
  <c r="F18" i="1"/>
  <c r="D18" i="1"/>
  <c r="L16" i="1"/>
  <c r="P16" i="1" s="1"/>
  <c r="J16" i="1"/>
  <c r="I16" i="1"/>
  <c r="H16" i="1"/>
  <c r="G16" i="1"/>
  <c r="F16" i="1"/>
  <c r="D16" i="1"/>
  <c r="L14" i="1"/>
  <c r="P14" i="1" s="1"/>
  <c r="J14" i="1"/>
  <c r="I14" i="1"/>
  <c r="W14" i="1" s="1"/>
  <c r="H14" i="1"/>
  <c r="G14" i="1"/>
  <c r="F14" i="1"/>
  <c r="D14" i="1"/>
  <c r="L12" i="1"/>
  <c r="P12" i="1" s="1"/>
  <c r="J12" i="1"/>
  <c r="I12" i="1"/>
  <c r="W12" i="1" s="1"/>
  <c r="H12" i="1"/>
  <c r="G12" i="1"/>
  <c r="F12" i="1"/>
  <c r="D12" i="1"/>
  <c r="L11" i="1"/>
  <c r="P11" i="1" s="1"/>
  <c r="J11" i="1"/>
  <c r="H11" i="1"/>
  <c r="G11" i="1"/>
  <c r="F11" i="1"/>
  <c r="D11" i="1"/>
  <c r="O10" i="1"/>
  <c r="L10" i="1"/>
  <c r="P10" i="1" s="1"/>
  <c r="J10" i="1"/>
  <c r="I10" i="1"/>
  <c r="H10" i="1"/>
  <c r="G10" i="1"/>
  <c r="F10" i="1"/>
  <c r="D10" i="1"/>
  <c r="K17" i="1" l="1"/>
  <c r="K15" i="1"/>
  <c r="O12" i="1"/>
  <c r="K30" i="1"/>
  <c r="Q29" i="1"/>
  <c r="R29" i="1" s="1"/>
  <c r="Q30" i="1"/>
  <c r="R30" i="1" s="1"/>
  <c r="K19" i="1"/>
  <c r="Q25" i="1"/>
  <c r="R25" i="1" s="1"/>
  <c r="K29" i="1"/>
  <c r="K14" i="1"/>
  <c r="Q16" i="1"/>
  <c r="R16" i="1" s="1"/>
  <c r="P18" i="1"/>
  <c r="K26" i="1"/>
  <c r="Q14" i="1"/>
  <c r="R14" i="1" s="1"/>
  <c r="Q26" i="1"/>
  <c r="R26" i="1" s="1"/>
  <c r="K27" i="1"/>
  <c r="K25" i="1"/>
  <c r="K23" i="1"/>
  <c r="K22" i="1"/>
  <c r="K16" i="1"/>
  <c r="W28" i="1"/>
  <c r="W25" i="1"/>
  <c r="Q24" i="1"/>
  <c r="R24" i="1" s="1"/>
  <c r="W23" i="1"/>
  <c r="Q23" i="1"/>
  <c r="R23" i="1" s="1"/>
  <c r="W22" i="1"/>
  <c r="Q22" i="1"/>
  <c r="R22" i="1" s="1"/>
  <c r="Q20" i="1"/>
  <c r="R20" i="1" s="1"/>
  <c r="K18" i="1"/>
  <c r="Q18" i="1"/>
  <c r="R18" i="1" s="1"/>
  <c r="S18" i="1" s="1"/>
  <c r="U18" i="1" s="1"/>
  <c r="W17" i="1"/>
  <c r="W16" i="1"/>
  <c r="W15" i="1"/>
  <c r="Q15" i="1"/>
  <c r="R15" i="1" s="1"/>
  <c r="O29" i="1"/>
  <c r="S29" i="1" s="1"/>
  <c r="U29" i="1" s="1"/>
  <c r="O27" i="1"/>
  <c r="S27" i="1" s="1"/>
  <c r="U27" i="1" s="1"/>
  <c r="O25" i="1"/>
  <c r="O23" i="1"/>
  <c r="S23" i="1" s="1"/>
  <c r="U23" i="1" s="1"/>
  <c r="O21" i="1"/>
  <c r="S21" i="1" s="1"/>
  <c r="U21" i="1" s="1"/>
  <c r="O19" i="1"/>
  <c r="S19" i="1" s="1"/>
  <c r="U19" i="1" s="1"/>
  <c r="O17" i="1"/>
  <c r="S17" i="1" s="1"/>
  <c r="U17" i="1" s="1"/>
  <c r="O15" i="1"/>
  <c r="S15" i="1" s="1"/>
  <c r="U15" i="1" s="1"/>
  <c r="O13" i="1"/>
  <c r="S13" i="1" s="1"/>
  <c r="U13" i="1" s="1"/>
  <c r="O11" i="1"/>
  <c r="O30" i="1"/>
  <c r="K28" i="1"/>
  <c r="O28" i="1"/>
  <c r="S28" i="1" s="1"/>
  <c r="U28" i="1" s="1"/>
  <c r="O26" i="1"/>
  <c r="S26" i="1" s="1"/>
  <c r="U26" i="1" s="1"/>
  <c r="O24" i="1"/>
  <c r="O22" i="1"/>
  <c r="K20" i="1"/>
  <c r="O20" i="1"/>
  <c r="S20" i="1" s="1"/>
  <c r="U20" i="1" s="1"/>
  <c r="O16" i="1"/>
  <c r="O14" i="1"/>
  <c r="K12" i="1"/>
  <c r="Q12" i="1"/>
  <c r="R12" i="1" s="1"/>
  <c r="S12" i="1" s="1"/>
  <c r="U12" i="1" s="1"/>
  <c r="S30" i="1" l="1"/>
  <c r="U30" i="1" s="1"/>
  <c r="S22" i="1"/>
  <c r="U22" i="1" s="1"/>
  <c r="S16" i="1"/>
  <c r="U16" i="1" s="1"/>
  <c r="V16" i="1" s="1"/>
  <c r="S24" i="1"/>
  <c r="U24" i="1" s="1"/>
  <c r="V24" i="1" s="1"/>
  <c r="X24" i="1" s="1"/>
  <c r="Y24" i="1" s="1"/>
  <c r="S25" i="1"/>
  <c r="U25" i="1" s="1"/>
  <c r="V25" i="1" s="1"/>
  <c r="X25" i="1" s="1"/>
  <c r="Y25" i="1" s="1"/>
  <c r="S14" i="1"/>
  <c r="U14" i="1" s="1"/>
  <c r="V14" i="1" s="1"/>
  <c r="V29" i="1"/>
  <c r="X29" i="1" s="1"/>
  <c r="Y29" i="1" s="1"/>
  <c r="V27" i="1"/>
  <c r="X27" i="1" s="1"/>
  <c r="Y27" i="1" s="1"/>
  <c r="V23" i="1"/>
  <c r="X23" i="1" s="1"/>
  <c r="Y23" i="1" s="1"/>
  <c r="V21" i="1"/>
  <c r="X21" i="1" s="1"/>
  <c r="Y21" i="1" s="1"/>
  <c r="V19" i="1"/>
  <c r="X19" i="1" s="1"/>
  <c r="Y19" i="1" s="1"/>
  <c r="X17" i="1"/>
  <c r="Y17" i="1" s="1"/>
  <c r="V17" i="1"/>
  <c r="X15" i="1"/>
  <c r="Y15" i="1" s="1"/>
  <c r="V15" i="1"/>
  <c r="X13" i="1"/>
  <c r="Y13" i="1" s="1"/>
  <c r="V13" i="1"/>
  <c r="V30" i="1"/>
  <c r="X30" i="1" s="1"/>
  <c r="Y30" i="1" s="1"/>
  <c r="V28" i="1"/>
  <c r="X28" i="1" s="1"/>
  <c r="Y28" i="1" s="1"/>
  <c r="V26" i="1"/>
  <c r="X26" i="1" s="1"/>
  <c r="Y26" i="1" s="1"/>
  <c r="V22" i="1"/>
  <c r="X22" i="1" s="1"/>
  <c r="Y22" i="1" s="1"/>
  <c r="V20" i="1"/>
  <c r="X20" i="1" s="1"/>
  <c r="Y20" i="1" s="1"/>
  <c r="V18" i="1"/>
  <c r="X18" i="1" s="1"/>
  <c r="Y18" i="1" s="1"/>
  <c r="X16" i="1"/>
  <c r="Y16" i="1" s="1"/>
  <c r="X14" i="1"/>
  <c r="Y14" i="1" s="1"/>
  <c r="X12" i="1"/>
  <c r="Y12" i="1" s="1"/>
  <c r="V12" i="1"/>
  <c r="K11" i="1" l="1"/>
  <c r="K10" i="1"/>
  <c r="W10" i="1" l="1"/>
  <c r="Q10" i="1"/>
  <c r="W11" i="1"/>
  <c r="Q11" i="1"/>
  <c r="R10" i="1" l="1"/>
  <c r="S10" i="1" s="1"/>
  <c r="U10" i="1" s="1"/>
  <c r="R11" i="1"/>
  <c r="S11" i="1" s="1"/>
  <c r="U11" i="1" s="1"/>
  <c r="X10" i="1" l="1"/>
  <c r="Y10" i="1" s="1"/>
  <c r="V10" i="1"/>
  <c r="X11" i="1"/>
  <c r="Y11" i="1" s="1"/>
  <c r="V11" i="1"/>
</calcChain>
</file>

<file path=xl/sharedStrings.xml><?xml version="1.0" encoding="utf-8"?>
<sst xmlns="http://schemas.openxmlformats.org/spreadsheetml/2006/main" count="102" uniqueCount="89">
  <si>
    <t>Perception Time (s)</t>
  </si>
  <si>
    <t>Grade (%)</t>
  </si>
  <si>
    <t>Speed Limit</t>
  </si>
  <si>
    <t>Yellow Duration (s)</t>
  </si>
  <si>
    <t>Notes:</t>
  </si>
  <si>
    <t xml:space="preserve">Actual </t>
  </si>
  <si>
    <t>Actual</t>
  </si>
  <si>
    <t>Thru Yellow (s)</t>
  </si>
  <si>
    <t>Braking</t>
  </si>
  <si>
    <t xml:space="preserve"> Time (s)</t>
  </si>
  <si>
    <t>Stopping</t>
  </si>
  <si>
    <t>Time (s)</t>
  </si>
  <si>
    <t>Distance</t>
  </si>
  <si>
    <t>Minimum</t>
  </si>
  <si>
    <t>Intersection</t>
  </si>
  <si>
    <t>Deceleration</t>
  </si>
  <si>
    <t>Approach Name</t>
  </si>
  <si>
    <t>7.  Grade = rise/run * 100.0.  Grade is a percent.   Positive grades are inclines.   Negative grades are declines.</t>
  </si>
  <si>
    <t xml:space="preserve">8.  The yellow duration is always the peception time + half the time it takes for a car to brake.      Note that you can never stop your car within the time the light is yellow. </t>
  </si>
  <si>
    <t>10.  ITE's equation does not handle grades greater or less than 10 percent.   It does not work in hilly places like San Francisco.   This is because ITE's equation invokes small angle approximation formulae.</t>
  </si>
  <si>
    <t>11.  ITE's equation does not handle slippery roads.   ITE's equation does not handle coefficients of friction.</t>
  </si>
  <si>
    <t>2.  Where you see red is a condition where ITE forces a driver to run a red light.</t>
  </si>
  <si>
    <t>http://redlightrobber.com/red/links_pdf/Short-Yellow.pdf</t>
  </si>
  <si>
    <r>
      <t xml:space="preserve">1.  For the mathemathical proofs and the physics  behind this spreadsheet, see </t>
    </r>
    <r>
      <rPr>
        <i/>
        <sz val="11"/>
        <color theme="1"/>
        <rFont val="Calibri"/>
        <family val="2"/>
        <scheme val="minor"/>
      </rPr>
      <t>Short Yellows and Turns:</t>
    </r>
  </si>
  <si>
    <t>http://redlightrobber.com/red/links_pdf/Dilemma-Zone.pdf</t>
  </si>
  <si>
    <r>
      <t xml:space="preserve">13.  For details on ITE's </t>
    </r>
    <r>
      <rPr>
        <i/>
        <sz val="11"/>
        <color theme="1"/>
        <rFont val="Calibri"/>
        <family val="2"/>
        <scheme val="minor"/>
      </rPr>
      <t>Derivation of the Yellow Light Interval Equation:</t>
    </r>
  </si>
  <si>
    <t>http://redlightrobber.com/red/links_pdf/Derivation.pdf</t>
  </si>
  <si>
    <t>ITE</t>
  </si>
  <si>
    <t>Effective</t>
  </si>
  <si>
    <t xml:space="preserve">Dilemma </t>
  </si>
  <si>
    <t>Dilemma</t>
  </si>
  <si>
    <t>Zone</t>
  </si>
  <si>
    <t>intersection)</t>
  </si>
  <si>
    <t>Critical</t>
  </si>
  <si>
    <t xml:space="preserve">Zone </t>
  </si>
  <si>
    <t>Zone End</t>
  </si>
  <si>
    <t>y</t>
  </si>
  <si>
    <t>Entry Speed</t>
  </si>
  <si>
    <t xml:space="preserve">Distance </t>
  </si>
  <si>
    <t>Zone Start</t>
  </si>
  <si>
    <t>&amp; Dilemma</t>
  </si>
  <si>
    <t>Turns</t>
  </si>
  <si>
    <t>Vf</t>
  </si>
  <si>
    <t>Time</t>
  </si>
  <si>
    <t>(s)</t>
  </si>
  <si>
    <t xml:space="preserve">tb </t>
  </si>
  <si>
    <t>b</t>
  </si>
  <si>
    <t>Travelled While</t>
  </si>
  <si>
    <t>s</t>
  </si>
  <si>
    <t>Distance Before</t>
  </si>
  <si>
    <t>Driver Applies</t>
  </si>
  <si>
    <t>ts</t>
  </si>
  <si>
    <t>Time Transpired</t>
  </si>
  <si>
    <t>Till Braking</t>
  </si>
  <si>
    <t>Z</t>
  </si>
  <si>
    <t>Time to</t>
  </si>
  <si>
    <t>Traverse Critical</t>
  </si>
  <si>
    <t>Distance (s)</t>
  </si>
  <si>
    <t>Turn Yellow</t>
  </si>
  <si>
    <t>Distance &amp;</t>
  </si>
  <si>
    <t>D</t>
  </si>
  <si>
    <t>(a + Gg)</t>
  </si>
  <si>
    <t>t = Z - y</t>
  </si>
  <si>
    <t>t - ts</t>
  </si>
  <si>
    <t>Elapsed Time</t>
  </si>
  <si>
    <t>Since Driver</t>
  </si>
  <si>
    <t>Began Braking</t>
  </si>
  <si>
    <t>Time from</t>
  </si>
  <si>
    <t>Critical Distance</t>
  </si>
  <si>
    <t>to Dilemma</t>
  </si>
  <si>
    <t>Zone End (s)</t>
  </si>
  <si>
    <t>Zone Length</t>
  </si>
  <si>
    <t xml:space="preserve"> intersection)</t>
  </si>
  <si>
    <t>3.  When the light turns yellow, ITE forces drivers between the start and end of the dilemma zone  to run the red light.</t>
  </si>
  <si>
    <t>6.   Sometimes the end of the dilemma zone is farther from the intersection than the start.   That means there is a region on the road where the driver can choose to stop or go and either is good.</t>
  </si>
  <si>
    <r>
      <t xml:space="preserve">12.  Even with properly set yellow durations, ITE's equation always guarantees a steady flow of cars running red lights.     See </t>
    </r>
    <r>
      <rPr>
        <i/>
        <sz val="11"/>
        <color theme="1"/>
        <rFont val="Calibri"/>
        <family val="2"/>
        <scheme val="minor"/>
      </rPr>
      <t>Dilemma Zone:</t>
    </r>
  </si>
  <si>
    <t>Decleration (m/s2)</t>
  </si>
  <si>
    <t>(km/h)</t>
  </si>
  <si>
    <t>Distance (m)</t>
  </si>
  <si>
    <t>(meters from</t>
  </si>
  <si>
    <t>Length (m)</t>
  </si>
  <si>
    <t>Decelerating (m)</t>
  </si>
  <si>
    <t>Brake (m)</t>
  </si>
  <si>
    <t>(m)</t>
  </si>
  <si>
    <t>Ends (meters from</t>
  </si>
  <si>
    <t>NCDOT</t>
  </si>
  <si>
    <t>14.  This spreadsheet computes only the yellow time for permissive yellow law States.   The yellow time for a restrictive yellow law State is not represented in this spread sheet.   For a restrictive yellow State, you must add the all-red clearance to the yellow times.</t>
  </si>
  <si>
    <t>Through-Unimpeded Movement Yellows and Turns - Metric</t>
  </si>
  <si>
    <t>9.  This spreadsheet uses ITE's equation for  through-movement yellow light durations.   The ITE formula does embed Newton's Laws of Motion.    No yellow light duration can be set less than these values, and through-movements represent the shortest durations among all traffic movements at signalized intersections.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</si>
</sst>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quot;$&quot;#,##0.00_);\(&quot;$&quot;#,##0.00\)"/>
    <numFmt numFmtId="164" formatCode="&quot;$&quot;#,##0.00"/>
    <numFmt numFmtId="165" formatCode="0.0"/>
    <numFmt numFmtId="166" formatCode="0.000"/>
  </numFmts>
  <fonts count="7" x14ac:knownFonts="1">
    <font>
      <sz val="11"/>
      <color theme="1"/>
      <name val="Calibri"/>
      <family val="2"/>
      <scheme val="minor"/>
    </font>
    <font>
      <sz val="10"/>
      <color indexed="8"/>
      <name val="Arial"/>
      <family val="2"/>
    </font>
    <font>
      <sz val="11"/>
      <color rgb="FF9C6500"/>
      <name val="Calibri"/>
      <family val="2"/>
      <scheme val="minor"/>
    </font>
    <font>
      <i/>
      <sz val="11"/>
      <color theme="1"/>
      <name val="Calibri"/>
      <family val="2"/>
      <scheme val="minor"/>
    </font>
    <font>
      <b/>
      <sz val="11"/>
      <color theme="1"/>
      <name val="Calibri"/>
      <family val="2"/>
      <scheme val="minor"/>
    </font>
    <font>
      <u/>
      <sz val="11"/>
      <color theme="10"/>
      <name val="Calibri"/>
      <family val="2"/>
      <scheme val="minor"/>
    </font>
    <font>
      <sz val="11"/>
      <color theme="0" tint="-0.499984740745262"/>
      <name val="Calibri"/>
      <family val="2"/>
      <scheme val="minor"/>
    </font>
  </fonts>
  <fills count="4">
    <fill>
      <patternFill patternType="none"/>
    </fill>
    <fill>
      <patternFill patternType="gray125"/>
    </fill>
    <fill>
      <patternFill patternType="solid">
        <fgColor rgb="FFFFEB9C"/>
      </patternFill>
    </fill>
    <fill>
      <patternFill patternType="solid">
        <fgColor theme="8" tint="0.79998168889431442"/>
        <bgColor indexed="64"/>
      </patternFill>
    </fill>
  </fills>
  <borders count="5">
    <border>
      <left/>
      <right/>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xf numFmtId="0" fontId="2" fillId="2" borderId="0" applyNumberFormat="0" applyBorder="0" applyAlignment="0" applyProtection="0"/>
    <xf numFmtId="0" fontId="5" fillId="0" borderId="0" applyNumberFormat="0" applyFill="0" applyBorder="0" applyAlignment="0" applyProtection="0"/>
  </cellStyleXfs>
  <cellXfs count="32">
    <xf numFmtId="0" fontId="0" fillId="0" borderId="0" xfId="0"/>
    <xf numFmtId="164" fontId="0" fillId="0" borderId="0" xfId="0" applyNumberFormat="1"/>
    <xf numFmtId="165" fontId="0" fillId="0" borderId="0" xfId="0" applyNumberFormat="1"/>
    <xf numFmtId="0" fontId="1" fillId="0" borderId="0" xfId="0" applyFont="1"/>
    <xf numFmtId="0" fontId="2" fillId="2" borderId="0" xfId="1"/>
    <xf numFmtId="165" fontId="2" fillId="2" borderId="0" xfId="1" applyNumberFormat="1"/>
    <xf numFmtId="7" fontId="2" fillId="2" borderId="0" xfId="1" applyNumberFormat="1"/>
    <xf numFmtId="7" fontId="0" fillId="0" borderId="0" xfId="0" applyNumberFormat="1"/>
    <xf numFmtId="0" fontId="0" fillId="0" borderId="0" xfId="0" applyAlignment="1">
      <alignment horizontal="right"/>
    </xf>
    <xf numFmtId="0" fontId="0" fillId="0" borderId="0" xfId="0" applyAlignment="1">
      <alignment horizontal="center"/>
    </xf>
    <xf numFmtId="0" fontId="4" fillId="0" borderId="0" xfId="0" applyFont="1" applyAlignment="1">
      <alignment horizontal="center"/>
    </xf>
    <xf numFmtId="49" fontId="0" fillId="0" borderId="0" xfId="0" applyNumberFormat="1"/>
    <xf numFmtId="49" fontId="0" fillId="0" borderId="0" xfId="0" applyNumberFormat="1" applyFont="1"/>
    <xf numFmtId="0" fontId="0" fillId="0" borderId="0" xfId="0" applyFont="1"/>
    <xf numFmtId="0" fontId="0" fillId="3" borderId="1" xfId="0" applyFill="1" applyBorder="1"/>
    <xf numFmtId="0" fontId="4" fillId="3" borderId="1" xfId="0" applyFont="1" applyFill="1" applyBorder="1" applyAlignment="1">
      <alignment horizontal="center"/>
    </xf>
    <xf numFmtId="0" fontId="0" fillId="3" borderId="1" xfId="0" applyFill="1" applyBorder="1" applyAlignment="1">
      <alignment horizontal="center"/>
    </xf>
    <xf numFmtId="0" fontId="0" fillId="3" borderId="2" xfId="0" applyFill="1" applyBorder="1"/>
    <xf numFmtId="0" fontId="0" fillId="0" borderId="3" xfId="0" applyBorder="1"/>
    <xf numFmtId="0" fontId="0" fillId="0" borderId="0" xfId="0" applyBorder="1"/>
    <xf numFmtId="0" fontId="0" fillId="0" borderId="4" xfId="0" applyBorder="1"/>
    <xf numFmtId="165" fontId="2" fillId="2" borderId="3" xfId="1" applyNumberFormat="1" applyBorder="1"/>
    <xf numFmtId="165" fontId="2" fillId="2" borderId="0" xfId="1" applyNumberFormat="1" applyBorder="1"/>
    <xf numFmtId="165" fontId="2" fillId="2" borderId="4" xfId="1" applyNumberFormat="1" applyBorder="1"/>
    <xf numFmtId="165" fontId="0" fillId="0" borderId="3" xfId="0" applyNumberFormat="1" applyBorder="1"/>
    <xf numFmtId="165" fontId="0" fillId="0" borderId="0" xfId="0" applyNumberFormat="1" applyBorder="1"/>
    <xf numFmtId="165" fontId="0" fillId="0" borderId="4" xfId="0" applyNumberFormat="1" applyBorder="1"/>
    <xf numFmtId="0" fontId="4" fillId="0" borderId="0" xfId="0" applyFont="1"/>
    <xf numFmtId="0" fontId="5" fillId="0" borderId="0" xfId="2"/>
    <xf numFmtId="0" fontId="6" fillId="0" borderId="0" xfId="0" applyFont="1" applyAlignment="1">
      <alignment horizontal="right"/>
    </xf>
    <xf numFmtId="165" fontId="6" fillId="0" borderId="0" xfId="0" applyNumberFormat="1" applyFont="1"/>
    <xf numFmtId="166" fontId="6" fillId="0" borderId="0" xfId="0" applyNumberFormat="1" applyFont="1"/>
  </cellXfs>
  <cellStyles count="3">
    <cellStyle name="Hyperlink" xfId="2" builtinId="8"/>
    <cellStyle name="Neutral" xfId="1" builtinId="28"/>
    <cellStyle name="Normal" xfId="0" builtinId="0"/>
  </cellStyles>
  <dxfs count="42">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rgb="FF9C0006"/>
      </font>
      <fill>
        <patternFill>
          <bgColor rgb="FFFFC7CE"/>
        </patternFill>
      </fill>
    </dxf>
    <dxf>
      <font>
        <color theme="1"/>
      </font>
      <fill>
        <patternFill>
          <bgColor rgb="FFFF7C80"/>
        </patternFill>
      </fill>
    </dxf>
    <dxf>
      <font>
        <color theme="1"/>
      </font>
      <fill>
        <patternFill>
          <bgColor rgb="FFFF7C80"/>
        </patternFill>
      </fill>
    </dxf>
    <dxf>
      <font>
        <color rgb="FF9C0006"/>
      </font>
      <fill>
        <patternFill>
          <bgColor rgb="FFFFC7CE"/>
        </patternFill>
      </fill>
    </dxf>
    <dxf>
      <font>
        <color rgb="FF9C0006"/>
      </font>
      <fill>
        <patternFill>
          <bgColor rgb="FFFFC7CE"/>
        </patternFill>
      </fill>
    </dxf>
  </dxfs>
  <tableStyles count="1" defaultTableStyle="TableStyleMedium9" defaultPivotStyle="PivotStyleLight16">
    <tableStyle name="Table Style 1" pivot="0" count="0"/>
  </tableStyles>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redlightrobber.com/red/links_pdf/Derivation.pdf" TargetMode="External"/><Relationship Id="rId2" Type="http://schemas.openxmlformats.org/officeDocument/2006/relationships/hyperlink" Target="http://redlightrobber.com/red/links_pdf/Dilemma-Zone.pdf" TargetMode="External"/><Relationship Id="rId1" Type="http://schemas.openxmlformats.org/officeDocument/2006/relationships/hyperlink" Target="http://redlightrobber.com/red/links_pdf/Short-Yellow.pdf" TargetMode="External"/><Relationship Id="rId5" Type="http://schemas.openxmlformats.org/officeDocument/2006/relationships/customProperty" Target="../customProperty1.bin"/><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tabSelected="1" zoomScale="69" zoomScaleNormal="69" workbookViewId="0">
      <selection activeCell="E26" sqref="E26"/>
    </sheetView>
  </sheetViews>
  <sheetFormatPr defaultRowHeight="15" x14ac:dyDescent="0.25"/>
  <cols>
    <col min="1" max="1" width="31.28515625" customWidth="1"/>
    <col min="2" max="2" width="12.7109375" customWidth="1"/>
    <col min="3" max="3" width="11.5703125" customWidth="1"/>
    <col min="4" max="4" width="18.85546875" customWidth="1"/>
    <col min="5" max="5" width="16.140625" customWidth="1"/>
    <col min="6" max="6" width="11.85546875" customWidth="1"/>
    <col min="7" max="7" width="11.42578125" customWidth="1"/>
    <col min="8" max="8" width="16" customWidth="1"/>
    <col min="9" max="9" width="14" customWidth="1"/>
    <col min="10" max="10" width="15.85546875" customWidth="1"/>
    <col min="11" max="11" width="14.5703125" customWidth="1"/>
    <col min="12" max="12" width="18.28515625" customWidth="1"/>
    <col min="13" max="13" width="6.42578125" customWidth="1"/>
    <col min="14" max="14" width="15.42578125" customWidth="1"/>
    <col min="15" max="15" width="14.140625" customWidth="1"/>
    <col min="16" max="16" width="17.5703125" customWidth="1"/>
    <col min="17" max="22" width="16.140625" customWidth="1"/>
    <col min="23" max="23" width="17.85546875" customWidth="1"/>
    <col min="24" max="24" width="16.140625" customWidth="1"/>
    <col min="25" max="25" width="22.42578125" customWidth="1"/>
    <col min="26" max="26" width="9.7109375" customWidth="1"/>
  </cols>
  <sheetData>
    <row r="1" spans="1:26" x14ac:dyDescent="0.25">
      <c r="I1" s="27" t="s">
        <v>87</v>
      </c>
    </row>
    <row r="2" spans="1:26" x14ac:dyDescent="0.25">
      <c r="B2" s="8"/>
      <c r="C2" s="29" t="s">
        <v>85</v>
      </c>
      <c r="D2" s="29" t="s">
        <v>27</v>
      </c>
      <c r="N2" s="17" t="s">
        <v>41</v>
      </c>
      <c r="O2" s="17"/>
      <c r="P2" s="17"/>
      <c r="Q2" s="17"/>
      <c r="R2" s="17"/>
      <c r="S2" s="17"/>
      <c r="T2" s="17"/>
      <c r="U2" s="17"/>
      <c r="V2" s="17"/>
      <c r="W2" s="17"/>
      <c r="X2" s="17"/>
      <c r="Y2" s="17"/>
    </row>
    <row r="3" spans="1:26" x14ac:dyDescent="0.25">
      <c r="A3" t="s">
        <v>0</v>
      </c>
      <c r="B3">
        <v>1</v>
      </c>
      <c r="C3" s="30">
        <v>1.5</v>
      </c>
      <c r="D3" s="30">
        <v>1</v>
      </c>
      <c r="N3" s="14"/>
      <c r="O3" s="14"/>
      <c r="P3" s="14"/>
      <c r="Q3" s="14"/>
      <c r="R3" s="14"/>
      <c r="S3" s="14"/>
      <c r="T3" s="14"/>
      <c r="U3" s="14"/>
      <c r="V3" s="14"/>
      <c r="W3" s="14"/>
      <c r="X3" s="14"/>
      <c r="Y3" s="14"/>
    </row>
    <row r="4" spans="1:26" x14ac:dyDescent="0.25">
      <c r="A4" t="s">
        <v>76</v>
      </c>
      <c r="B4">
        <v>3.05</v>
      </c>
      <c r="C4" s="31">
        <v>3.4159999999999999</v>
      </c>
      <c r="D4" s="31">
        <v>3.05</v>
      </c>
      <c r="E4" s="10"/>
      <c r="H4" s="10"/>
      <c r="I4" s="10" t="s">
        <v>33</v>
      </c>
      <c r="J4" s="10"/>
      <c r="L4" s="10"/>
      <c r="M4" s="10"/>
      <c r="N4" s="15"/>
      <c r="O4" s="15"/>
      <c r="P4" s="15"/>
      <c r="Q4" s="15"/>
      <c r="R4" s="15"/>
      <c r="S4" s="15"/>
      <c r="T4" s="15"/>
      <c r="U4" s="15" t="s">
        <v>62</v>
      </c>
      <c r="V4" s="15" t="s">
        <v>63</v>
      </c>
      <c r="W4" s="15" t="s">
        <v>33</v>
      </c>
      <c r="X4" s="16"/>
      <c r="Y4" s="15" t="s">
        <v>60</v>
      </c>
    </row>
    <row r="5" spans="1:26" x14ac:dyDescent="0.25">
      <c r="I5" s="9" t="s">
        <v>38</v>
      </c>
      <c r="J5" s="9" t="s">
        <v>30</v>
      </c>
      <c r="K5" s="9"/>
      <c r="N5" s="16" t="s">
        <v>42</v>
      </c>
      <c r="O5" s="15" t="s">
        <v>45</v>
      </c>
      <c r="P5" s="15" t="s">
        <v>46</v>
      </c>
      <c r="Q5" s="15" t="s">
        <v>48</v>
      </c>
      <c r="R5" s="15" t="s">
        <v>51</v>
      </c>
      <c r="S5" s="15" t="s">
        <v>54</v>
      </c>
      <c r="T5" s="15" t="s">
        <v>36</v>
      </c>
      <c r="U5" s="15" t="s">
        <v>67</v>
      </c>
      <c r="V5" s="15" t="s">
        <v>64</v>
      </c>
      <c r="W5" s="16" t="s">
        <v>59</v>
      </c>
      <c r="X5" s="16"/>
      <c r="Y5" s="15" t="s">
        <v>30</v>
      </c>
    </row>
    <row r="6" spans="1:26" x14ac:dyDescent="0.25">
      <c r="I6" s="9" t="s">
        <v>40</v>
      </c>
      <c r="J6" s="9" t="s">
        <v>35</v>
      </c>
      <c r="K6" s="9" t="s">
        <v>29</v>
      </c>
      <c r="L6" s="9" t="s">
        <v>28</v>
      </c>
      <c r="M6" s="9"/>
      <c r="N6" s="16" t="s">
        <v>14</v>
      </c>
      <c r="O6" s="16" t="s">
        <v>15</v>
      </c>
      <c r="P6" s="16" t="s">
        <v>12</v>
      </c>
      <c r="Q6" s="16" t="s">
        <v>49</v>
      </c>
      <c r="R6" s="16" t="s">
        <v>52</v>
      </c>
      <c r="S6" s="16" t="s">
        <v>55</v>
      </c>
      <c r="T6" s="16" t="s">
        <v>6</v>
      </c>
      <c r="U6" s="16" t="s">
        <v>68</v>
      </c>
      <c r="V6" s="16" t="s">
        <v>65</v>
      </c>
      <c r="W6" s="16" t="s">
        <v>30</v>
      </c>
      <c r="X6" s="15" t="s">
        <v>29</v>
      </c>
      <c r="Y6" s="16" t="s">
        <v>31</v>
      </c>
    </row>
    <row r="7" spans="1:26" x14ac:dyDescent="0.25">
      <c r="B7" s="9" t="s">
        <v>2</v>
      </c>
      <c r="C7" s="9"/>
      <c r="D7" s="9" t="s">
        <v>13</v>
      </c>
      <c r="E7" s="9" t="s">
        <v>5</v>
      </c>
      <c r="F7" s="9" t="s">
        <v>8</v>
      </c>
      <c r="G7" s="9" t="s">
        <v>10</v>
      </c>
      <c r="H7" s="9" t="s">
        <v>8</v>
      </c>
      <c r="I7" s="9" t="s">
        <v>39</v>
      </c>
      <c r="J7" s="9" t="s">
        <v>79</v>
      </c>
      <c r="K7" s="9" t="s">
        <v>34</v>
      </c>
      <c r="L7" s="9" t="s">
        <v>15</v>
      </c>
      <c r="M7" s="9"/>
      <c r="N7" s="16" t="s">
        <v>37</v>
      </c>
      <c r="O7" s="16" t="s">
        <v>43</v>
      </c>
      <c r="P7" s="16" t="s">
        <v>47</v>
      </c>
      <c r="Q7" s="16" t="s">
        <v>50</v>
      </c>
      <c r="R7" s="16" t="s">
        <v>53</v>
      </c>
      <c r="S7" s="16" t="s">
        <v>56</v>
      </c>
      <c r="T7" s="16" t="s">
        <v>58</v>
      </c>
      <c r="U7" s="16" t="s">
        <v>69</v>
      </c>
      <c r="V7" s="16" t="s">
        <v>66</v>
      </c>
      <c r="W7" s="16" t="s">
        <v>39</v>
      </c>
      <c r="X7" s="16" t="s">
        <v>71</v>
      </c>
      <c r="Y7" s="16" t="s">
        <v>84</v>
      </c>
    </row>
    <row r="8" spans="1:26" x14ac:dyDescent="0.25">
      <c r="A8" t="s">
        <v>16</v>
      </c>
      <c r="B8" s="9" t="s">
        <v>77</v>
      </c>
      <c r="C8" s="9" t="s">
        <v>1</v>
      </c>
      <c r="D8" s="9" t="s">
        <v>3</v>
      </c>
      <c r="E8" s="9" t="s">
        <v>7</v>
      </c>
      <c r="F8" s="9" t="s">
        <v>9</v>
      </c>
      <c r="G8" s="9" t="s">
        <v>11</v>
      </c>
      <c r="H8" s="9" t="s">
        <v>78</v>
      </c>
      <c r="I8" s="9" t="s">
        <v>78</v>
      </c>
      <c r="J8" s="9" t="s">
        <v>32</v>
      </c>
      <c r="K8" s="9" t="s">
        <v>80</v>
      </c>
      <c r="L8" s="9" t="s">
        <v>61</v>
      </c>
      <c r="M8" s="9"/>
      <c r="N8" s="16" t="s">
        <v>77</v>
      </c>
      <c r="O8" s="16" t="s">
        <v>44</v>
      </c>
      <c r="P8" s="16" t="s">
        <v>81</v>
      </c>
      <c r="Q8" s="16" t="s">
        <v>82</v>
      </c>
      <c r="R8" s="16" t="s">
        <v>44</v>
      </c>
      <c r="S8" s="16" t="s">
        <v>57</v>
      </c>
      <c r="T8" s="16" t="s">
        <v>11</v>
      </c>
      <c r="U8" s="16" t="s">
        <v>70</v>
      </c>
      <c r="V8" s="16" t="s">
        <v>44</v>
      </c>
      <c r="W8" s="16" t="s">
        <v>78</v>
      </c>
      <c r="X8" s="16" t="s">
        <v>83</v>
      </c>
      <c r="Y8" s="16" t="s">
        <v>72</v>
      </c>
    </row>
    <row r="9" spans="1:26" x14ac:dyDescent="0.25">
      <c r="N9" s="18"/>
      <c r="O9" s="19"/>
      <c r="P9" s="19"/>
      <c r="Q9" s="19"/>
      <c r="R9" s="19"/>
      <c r="S9" s="19"/>
      <c r="T9" s="19"/>
      <c r="U9" s="19"/>
      <c r="V9" s="19"/>
      <c r="W9" s="19"/>
      <c r="X9" s="19"/>
      <c r="Y9" s="20"/>
    </row>
    <row r="10" spans="1:26" s="4" customFormat="1" x14ac:dyDescent="0.25">
      <c r="B10" s="4">
        <v>15</v>
      </c>
      <c r="C10" s="4">
        <v>0</v>
      </c>
      <c r="D10" s="5">
        <f t="shared" ref="D10:D30" si="0">ROUNDUP(($B$3 + (B10 *1000/3600)/(2*$B$4 + 0.19614*C10)), 1)</f>
        <v>1.7000000000000002</v>
      </c>
      <c r="E10" s="5">
        <v>3</v>
      </c>
      <c r="F10" s="5">
        <f t="shared" ref="F10:F30" si="1">(B10 *1000/3600)/($B$4 + 9.807*SIN(ATAN(C10 * 0.01)))</f>
        <v>1.3661202185792352</v>
      </c>
      <c r="G10" s="5">
        <f t="shared" ref="G10:G30" si="2">$B$3 + (B10 *1000/3600)/($B$4 + 9.807*SIN(ATAN(C10 * 0.01)))</f>
        <v>2.3661202185792352</v>
      </c>
      <c r="H10" s="5">
        <f t="shared" ref="H10:H30" si="3">(B10 *1000/3600) * (B10 *1000/3600)/(2 * ($B$4 + 9.807*SIN(ATAN(C10 * 0.01))))</f>
        <v>2.8460837887067401</v>
      </c>
      <c r="I10" s="5">
        <f t="shared" ref="I10:I30" si="4">$B$3 * (B10 * 1000/3600) + ((B10 * 1000/3600) * (B10 * 1000/3600))/(2 * ($B$4 + 9.807*SIN(ATAN(C10 * 0.01))))</f>
        <v>7.012750455373407</v>
      </c>
      <c r="J10" s="5">
        <f t="shared" ref="J10:J30" si="5">(B10*1000/3600)*(E10)</f>
        <v>12.5</v>
      </c>
      <c r="K10" s="5">
        <f t="shared" ref="K10:K11" si="6">IF(I10-J10&lt;0, 0, I10-J10)</f>
        <v>0</v>
      </c>
      <c r="L10" s="5">
        <f t="shared" ref="L10:L30" si="7">($B$4 + 9.807*SIN(ATAN(C10 * 0.01)))</f>
        <v>3.05</v>
      </c>
      <c r="M10" s="5"/>
      <c r="N10" s="21">
        <v>15</v>
      </c>
      <c r="O10" s="22">
        <f t="shared" ref="O10:O30" si="8">(B10 - N10) * (1000/3600) / L10</f>
        <v>0</v>
      </c>
      <c r="P10" s="22">
        <f t="shared" ref="P10:P30" si="9">(((B10 * (1000/3600))^2 - (N10 * (1000/3600))^2))/(2 * L10)</f>
        <v>0</v>
      </c>
      <c r="Q10" s="22">
        <f t="shared" ref="Q10:Q11" si="10">(I10 - P10)</f>
        <v>7.012750455373407</v>
      </c>
      <c r="R10" s="22">
        <f t="shared" ref="R10:R30" si="11">(Q10/(B10 * 1000/3600))</f>
        <v>1.6830601092896176</v>
      </c>
      <c r="S10" s="22">
        <f t="shared" ref="S10:S11" si="12">R10+O10</f>
        <v>1.6830601092896176</v>
      </c>
      <c r="T10" s="22">
        <v>3</v>
      </c>
      <c r="U10" s="22">
        <f t="shared" ref="U10:U11" si="13">S10-T10</f>
        <v>-1.3169398907103824</v>
      </c>
      <c r="V10" s="22">
        <f t="shared" ref="V10:V11" si="14">U10-R10</f>
        <v>-3</v>
      </c>
      <c r="W10" s="22">
        <f t="shared" ref="W10:W11" si="15">I10</f>
        <v>7.012750455373407</v>
      </c>
      <c r="X10" s="22">
        <f t="shared" ref="X10:X30" si="16">IF(IF(U10 &lt;= R10,  (B10 * 1000/3600)*U10, Q10 + (B10*1000/3600)*V10 - 0.5 * L10 * (V10^2))&lt;0, 0, IF(U10 &lt;= R10,  (B10 * 1000/3600)*U10, Q10 + (B10*1000/3600)*V10 - 0.5 * L10 * (V10^2)))</f>
        <v>0</v>
      </c>
      <c r="Y10" s="23">
        <f t="shared" ref="Y10:Y11" si="17">(W10-X10)</f>
        <v>7.012750455373407</v>
      </c>
      <c r="Z10" s="6"/>
    </row>
    <row r="11" spans="1:26" x14ac:dyDescent="0.25">
      <c r="B11">
        <v>20</v>
      </c>
      <c r="C11">
        <v>0</v>
      </c>
      <c r="D11" s="2">
        <f t="shared" si="0"/>
        <v>2</v>
      </c>
      <c r="E11" s="2">
        <v>3</v>
      </c>
      <c r="F11" s="2">
        <f t="shared" si="1"/>
        <v>1.8214936247723132</v>
      </c>
      <c r="G11" s="2">
        <f t="shared" si="2"/>
        <v>2.8214936247723132</v>
      </c>
      <c r="H11" s="2">
        <f t="shared" si="3"/>
        <v>5.0597045132564258</v>
      </c>
      <c r="I11" s="2">
        <f t="shared" si="4"/>
        <v>10.615260068811981</v>
      </c>
      <c r="J11" s="2">
        <f t="shared" si="5"/>
        <v>16.666666666666664</v>
      </c>
      <c r="K11" s="2">
        <f t="shared" si="6"/>
        <v>0</v>
      </c>
      <c r="L11" s="2">
        <f t="shared" si="7"/>
        <v>3.05</v>
      </c>
      <c r="M11" s="2"/>
      <c r="N11" s="24">
        <v>20</v>
      </c>
      <c r="O11" s="25">
        <f t="shared" si="8"/>
        <v>0</v>
      </c>
      <c r="P11" s="25">
        <f t="shared" si="9"/>
        <v>0</v>
      </c>
      <c r="Q11" s="25">
        <f t="shared" si="10"/>
        <v>10.615260068811981</v>
      </c>
      <c r="R11" s="25">
        <f t="shared" si="11"/>
        <v>1.9107468123861566</v>
      </c>
      <c r="S11" s="25">
        <f t="shared" si="12"/>
        <v>1.9107468123861566</v>
      </c>
      <c r="T11" s="25">
        <v>3</v>
      </c>
      <c r="U11" s="25">
        <f t="shared" si="13"/>
        <v>-1.0892531876138434</v>
      </c>
      <c r="V11" s="25">
        <f t="shared" si="14"/>
        <v>-3</v>
      </c>
      <c r="W11" s="25">
        <f t="shared" si="15"/>
        <v>10.615260068811981</v>
      </c>
      <c r="X11" s="25">
        <f t="shared" si="16"/>
        <v>0</v>
      </c>
      <c r="Y11" s="26">
        <f t="shared" si="17"/>
        <v>10.615260068811981</v>
      </c>
      <c r="Z11" s="7"/>
    </row>
    <row r="12" spans="1:26" s="4" customFormat="1" x14ac:dyDescent="0.25">
      <c r="B12" s="4">
        <v>25</v>
      </c>
      <c r="C12" s="4">
        <v>0</v>
      </c>
      <c r="D12" s="5">
        <f t="shared" si="0"/>
        <v>2.2000000000000002</v>
      </c>
      <c r="E12" s="5">
        <v>3</v>
      </c>
      <c r="F12" s="5">
        <f t="shared" si="1"/>
        <v>2.2768670309653918</v>
      </c>
      <c r="G12" s="5">
        <f t="shared" si="2"/>
        <v>3.2768670309653918</v>
      </c>
      <c r="H12" s="5">
        <f t="shared" si="3"/>
        <v>7.9057883019631658</v>
      </c>
      <c r="I12" s="5">
        <f t="shared" si="4"/>
        <v>14.85023274640761</v>
      </c>
      <c r="J12" s="5">
        <f t="shared" si="5"/>
        <v>20.833333333333336</v>
      </c>
      <c r="K12" s="5">
        <f t="shared" ref="K12:K13" si="18">IF(I12-J12&lt;0, 0, I12-J12)</f>
        <v>0</v>
      </c>
      <c r="L12" s="5">
        <f t="shared" si="7"/>
        <v>3.05</v>
      </c>
      <c r="M12" s="5"/>
      <c r="N12" s="21">
        <v>25</v>
      </c>
      <c r="O12" s="22">
        <f t="shared" si="8"/>
        <v>0</v>
      </c>
      <c r="P12" s="22">
        <f t="shared" si="9"/>
        <v>0</v>
      </c>
      <c r="Q12" s="22">
        <f t="shared" ref="Q12:Q13" si="19">(I12 - P12)</f>
        <v>14.85023274640761</v>
      </c>
      <c r="R12" s="22">
        <f t="shared" si="11"/>
        <v>2.1384335154826957</v>
      </c>
      <c r="S12" s="22">
        <f t="shared" ref="S12:S13" si="20">R12+O12</f>
        <v>2.1384335154826957</v>
      </c>
      <c r="T12" s="22">
        <v>3</v>
      </c>
      <c r="U12" s="22">
        <f t="shared" ref="U12:U13" si="21">S12-T12</f>
        <v>-0.86156648451730433</v>
      </c>
      <c r="V12" s="22">
        <f t="shared" ref="V12:V13" si="22">U12-R12</f>
        <v>-3</v>
      </c>
      <c r="W12" s="22">
        <f t="shared" ref="W12:W13" si="23">I12</f>
        <v>14.85023274640761</v>
      </c>
      <c r="X12" s="22">
        <f t="shared" si="16"/>
        <v>0</v>
      </c>
      <c r="Y12" s="23">
        <f t="shared" ref="Y12:Y13" si="24">(W12-X12)</f>
        <v>14.85023274640761</v>
      </c>
      <c r="Z12" s="6"/>
    </row>
    <row r="13" spans="1:26" x14ac:dyDescent="0.25">
      <c r="B13">
        <v>30</v>
      </c>
      <c r="C13">
        <v>0</v>
      </c>
      <c r="D13" s="2">
        <f t="shared" si="0"/>
        <v>2.4</v>
      </c>
      <c r="E13" s="2">
        <v>3</v>
      </c>
      <c r="F13" s="2">
        <f t="shared" si="1"/>
        <v>2.7322404371584703</v>
      </c>
      <c r="G13" s="2">
        <f t="shared" si="2"/>
        <v>3.7322404371584703</v>
      </c>
      <c r="H13" s="2">
        <f t="shared" si="3"/>
        <v>11.38433515482696</v>
      </c>
      <c r="I13" s="2">
        <f t="shared" si="4"/>
        <v>19.717668488160292</v>
      </c>
      <c r="J13" s="2">
        <f t="shared" si="5"/>
        <v>25</v>
      </c>
      <c r="K13" s="2">
        <f t="shared" si="18"/>
        <v>0</v>
      </c>
      <c r="L13" s="2">
        <f t="shared" si="7"/>
        <v>3.05</v>
      </c>
      <c r="M13" s="2"/>
      <c r="N13" s="24">
        <v>30</v>
      </c>
      <c r="O13" s="25">
        <f t="shared" si="8"/>
        <v>0</v>
      </c>
      <c r="P13" s="25">
        <f t="shared" si="9"/>
        <v>0</v>
      </c>
      <c r="Q13" s="25">
        <f t="shared" si="19"/>
        <v>19.717668488160292</v>
      </c>
      <c r="R13" s="25">
        <f t="shared" si="11"/>
        <v>2.3661202185792347</v>
      </c>
      <c r="S13" s="25">
        <f t="shared" si="20"/>
        <v>2.3661202185792347</v>
      </c>
      <c r="T13" s="25">
        <v>3</v>
      </c>
      <c r="U13" s="25">
        <f t="shared" si="21"/>
        <v>-0.63387978142076529</v>
      </c>
      <c r="V13" s="25">
        <f t="shared" si="22"/>
        <v>-3</v>
      </c>
      <c r="W13" s="25">
        <f t="shared" si="23"/>
        <v>19.717668488160292</v>
      </c>
      <c r="X13" s="25">
        <f t="shared" si="16"/>
        <v>0</v>
      </c>
      <c r="Y13" s="26">
        <f t="shared" si="24"/>
        <v>19.717668488160292</v>
      </c>
      <c r="Z13" s="7"/>
    </row>
    <row r="14" spans="1:26" s="4" customFormat="1" x14ac:dyDescent="0.25">
      <c r="B14" s="4">
        <v>35</v>
      </c>
      <c r="C14" s="4">
        <v>0</v>
      </c>
      <c r="D14" s="5">
        <f t="shared" si="0"/>
        <v>2.6</v>
      </c>
      <c r="E14" s="5">
        <v>3</v>
      </c>
      <c r="F14" s="5">
        <f t="shared" si="1"/>
        <v>3.1876138433515484</v>
      </c>
      <c r="G14" s="5">
        <f t="shared" si="2"/>
        <v>4.1876138433515484</v>
      </c>
      <c r="H14" s="5">
        <f t="shared" si="3"/>
        <v>15.495345071847803</v>
      </c>
      <c r="I14" s="5">
        <f t="shared" si="4"/>
        <v>25.217567294070022</v>
      </c>
      <c r="J14" s="5">
        <f t="shared" si="5"/>
        <v>29.166666666666664</v>
      </c>
      <c r="K14" s="5">
        <f t="shared" ref="K14:K15" si="25">IF(I14-J14&lt;0, 0, I14-J14)</f>
        <v>0</v>
      </c>
      <c r="L14" s="5">
        <f t="shared" si="7"/>
        <v>3.05</v>
      </c>
      <c r="M14" s="5"/>
      <c r="N14" s="21">
        <v>32</v>
      </c>
      <c r="O14" s="22">
        <f t="shared" si="8"/>
        <v>0.27322404371584702</v>
      </c>
      <c r="P14" s="22">
        <f t="shared" si="9"/>
        <v>2.5425015179113553</v>
      </c>
      <c r="Q14" s="22">
        <f t="shared" ref="Q14:Q15" si="26">(I14 - P14)</f>
        <v>22.675065776158668</v>
      </c>
      <c r="R14" s="22">
        <f t="shared" si="11"/>
        <v>2.332292479833463</v>
      </c>
      <c r="S14" s="22">
        <f t="shared" ref="S14:S15" si="27">R14+O14</f>
        <v>2.6055165235493098</v>
      </c>
      <c r="T14" s="22">
        <v>3</v>
      </c>
      <c r="U14" s="22">
        <f t="shared" ref="U14:U15" si="28">S14-T14</f>
        <v>-0.39448347645069015</v>
      </c>
      <c r="V14" s="22">
        <f t="shared" ref="V14:V15" si="29">U14-R14</f>
        <v>-2.7267759562841531</v>
      </c>
      <c r="W14" s="22">
        <f t="shared" ref="W14:W15" si="30">I14</f>
        <v>25.217567294070022</v>
      </c>
      <c r="X14" s="22">
        <f t="shared" si="16"/>
        <v>0</v>
      </c>
      <c r="Y14" s="23">
        <f t="shared" ref="Y14:Y15" si="31">(W14-X14)</f>
        <v>25.217567294070022</v>
      </c>
      <c r="Z14" s="6"/>
    </row>
    <row r="15" spans="1:26" x14ac:dyDescent="0.25">
      <c r="B15">
        <v>40</v>
      </c>
      <c r="C15">
        <v>0</v>
      </c>
      <c r="D15" s="2">
        <f t="shared" si="0"/>
        <v>2.9</v>
      </c>
      <c r="E15" s="2">
        <v>3</v>
      </c>
      <c r="F15" s="2">
        <f t="shared" si="1"/>
        <v>3.6429872495446265</v>
      </c>
      <c r="G15" s="2">
        <f t="shared" si="2"/>
        <v>4.6429872495446265</v>
      </c>
      <c r="H15" s="2">
        <f t="shared" si="3"/>
        <v>20.238818053025703</v>
      </c>
      <c r="I15" s="2">
        <f t="shared" si="4"/>
        <v>31.349929164136814</v>
      </c>
      <c r="J15" s="2">
        <f t="shared" si="5"/>
        <v>33.333333333333329</v>
      </c>
      <c r="K15" s="2">
        <f t="shared" si="25"/>
        <v>0</v>
      </c>
      <c r="L15" s="2">
        <f t="shared" si="7"/>
        <v>3.05</v>
      </c>
      <c r="M15" s="2"/>
      <c r="N15" s="24">
        <v>32</v>
      </c>
      <c r="O15" s="25">
        <f t="shared" si="8"/>
        <v>0.72859744990892539</v>
      </c>
      <c r="P15" s="25">
        <f t="shared" si="9"/>
        <v>7.2859744990892512</v>
      </c>
      <c r="Q15" s="25">
        <f t="shared" si="26"/>
        <v>24.063954665047561</v>
      </c>
      <c r="R15" s="25">
        <f t="shared" si="11"/>
        <v>2.1657559198542806</v>
      </c>
      <c r="S15" s="25">
        <f t="shared" si="27"/>
        <v>2.894353369763206</v>
      </c>
      <c r="T15" s="25">
        <v>3</v>
      </c>
      <c r="U15" s="25">
        <f t="shared" si="28"/>
        <v>-0.10564663023679399</v>
      </c>
      <c r="V15" s="25">
        <f t="shared" si="29"/>
        <v>-2.2714025500910746</v>
      </c>
      <c r="W15" s="25">
        <f t="shared" si="30"/>
        <v>31.349929164136814</v>
      </c>
      <c r="X15" s="25">
        <f t="shared" si="16"/>
        <v>0</v>
      </c>
      <c r="Y15" s="26">
        <f t="shared" si="31"/>
        <v>31.349929164136814</v>
      </c>
      <c r="Z15" s="7"/>
    </row>
    <row r="16" spans="1:26" s="4" customFormat="1" x14ac:dyDescent="0.25">
      <c r="B16" s="4">
        <v>45</v>
      </c>
      <c r="C16" s="4">
        <v>0</v>
      </c>
      <c r="D16" s="5">
        <f t="shared" si="0"/>
        <v>3.1</v>
      </c>
      <c r="E16" s="5">
        <v>3.1</v>
      </c>
      <c r="F16" s="5">
        <f t="shared" si="1"/>
        <v>4.0983606557377055</v>
      </c>
      <c r="G16" s="5">
        <f t="shared" si="2"/>
        <v>5.0983606557377055</v>
      </c>
      <c r="H16" s="5">
        <f t="shared" si="3"/>
        <v>25.614754098360656</v>
      </c>
      <c r="I16" s="5">
        <f t="shared" si="4"/>
        <v>38.114754098360656</v>
      </c>
      <c r="J16" s="5">
        <f t="shared" si="5"/>
        <v>38.75</v>
      </c>
      <c r="K16" s="5">
        <f t="shared" ref="K16:K17" si="32">IF(I16-J16&lt;0, 0, I16-J16)</f>
        <v>0</v>
      </c>
      <c r="L16" s="5">
        <f t="shared" si="7"/>
        <v>3.05</v>
      </c>
      <c r="M16" s="5"/>
      <c r="N16" s="21">
        <v>32</v>
      </c>
      <c r="O16" s="22">
        <f t="shared" si="8"/>
        <v>1.1839708561020037</v>
      </c>
      <c r="P16" s="22">
        <f t="shared" si="9"/>
        <v>12.661910544424204</v>
      </c>
      <c r="Q16" s="22">
        <f t="shared" ref="Q16:Q17" si="33">(I16 - P16)</f>
        <v>25.452843553936454</v>
      </c>
      <c r="R16" s="22">
        <f t="shared" si="11"/>
        <v>2.0362274843149164</v>
      </c>
      <c r="S16" s="22">
        <f t="shared" ref="S16:S17" si="34">R16+O16</f>
        <v>3.2201983404169203</v>
      </c>
      <c r="T16" s="22">
        <v>3</v>
      </c>
      <c r="U16" s="22">
        <f t="shared" ref="U16:U17" si="35">S16-T16</f>
        <v>0.22019834041692032</v>
      </c>
      <c r="V16" s="22">
        <f t="shared" ref="V16:V17" si="36">U16-R16</f>
        <v>-1.8160291438979961</v>
      </c>
      <c r="W16" s="22">
        <f t="shared" ref="W16:W17" si="37">I16</f>
        <v>38.114754098360656</v>
      </c>
      <c r="X16" s="22">
        <f t="shared" si="16"/>
        <v>2.7524792552115041</v>
      </c>
      <c r="Y16" s="23">
        <f t="shared" ref="Y16:Y17" si="38">(W16-X16)</f>
        <v>35.362274843149152</v>
      </c>
      <c r="Z16" s="6"/>
    </row>
    <row r="17" spans="1:26" x14ac:dyDescent="0.25">
      <c r="B17">
        <v>50</v>
      </c>
      <c r="C17">
        <v>0</v>
      </c>
      <c r="D17" s="2">
        <f t="shared" si="0"/>
        <v>3.3000000000000003</v>
      </c>
      <c r="E17" s="2">
        <v>3.3</v>
      </c>
      <c r="F17" s="2">
        <f t="shared" si="1"/>
        <v>4.5537340619307836</v>
      </c>
      <c r="G17" s="2">
        <f t="shared" si="2"/>
        <v>5.5537340619307836</v>
      </c>
      <c r="H17" s="2">
        <f t="shared" si="3"/>
        <v>31.623153207852663</v>
      </c>
      <c r="I17" s="2">
        <f t="shared" si="4"/>
        <v>45.512042096741553</v>
      </c>
      <c r="J17" s="2">
        <f t="shared" si="5"/>
        <v>45.833333333333336</v>
      </c>
      <c r="K17" s="2">
        <f t="shared" si="32"/>
        <v>0</v>
      </c>
      <c r="L17" s="2">
        <f t="shared" si="7"/>
        <v>3.05</v>
      </c>
      <c r="M17" s="2"/>
      <c r="N17" s="24">
        <v>32</v>
      </c>
      <c r="O17" s="25">
        <f t="shared" si="8"/>
        <v>1.639344262295082</v>
      </c>
      <c r="P17" s="25">
        <f t="shared" si="9"/>
        <v>18.670309653916213</v>
      </c>
      <c r="Q17" s="25">
        <f t="shared" si="33"/>
        <v>26.841732442825339</v>
      </c>
      <c r="R17" s="25">
        <f t="shared" si="11"/>
        <v>1.9326047358834244</v>
      </c>
      <c r="S17" s="25">
        <f t="shared" si="34"/>
        <v>3.5719489981785064</v>
      </c>
      <c r="T17" s="25">
        <v>3</v>
      </c>
      <c r="U17" s="25">
        <f t="shared" si="35"/>
        <v>0.57194899817850642</v>
      </c>
      <c r="V17" s="25">
        <f t="shared" si="36"/>
        <v>-1.360655737704918</v>
      </c>
      <c r="W17" s="25">
        <f t="shared" si="37"/>
        <v>45.512042096741553</v>
      </c>
      <c r="X17" s="25">
        <f t="shared" si="16"/>
        <v>7.9437360858125894</v>
      </c>
      <c r="Y17" s="26">
        <f t="shared" si="38"/>
        <v>37.568306010928964</v>
      </c>
      <c r="Z17" s="7"/>
    </row>
    <row r="18" spans="1:26" s="4" customFormat="1" x14ac:dyDescent="0.25">
      <c r="B18" s="4">
        <v>55</v>
      </c>
      <c r="C18" s="4">
        <v>0</v>
      </c>
      <c r="D18" s="5">
        <f t="shared" si="0"/>
        <v>3.6</v>
      </c>
      <c r="E18" s="5">
        <v>3.6</v>
      </c>
      <c r="F18" s="5">
        <f t="shared" si="1"/>
        <v>5.0091074681238625</v>
      </c>
      <c r="G18" s="5">
        <f t="shared" si="2"/>
        <v>6.0091074681238625</v>
      </c>
      <c r="H18" s="5">
        <f t="shared" si="3"/>
        <v>38.264015381501721</v>
      </c>
      <c r="I18" s="5">
        <f t="shared" si="4"/>
        <v>53.5417931592795</v>
      </c>
      <c r="J18" s="5">
        <f t="shared" si="5"/>
        <v>55.000000000000007</v>
      </c>
      <c r="K18" s="5">
        <f t="shared" ref="K18:K19" si="39">IF(I18-J18&lt;0, 0, I18-J18)</f>
        <v>0</v>
      </c>
      <c r="L18" s="5">
        <f t="shared" si="7"/>
        <v>3.05</v>
      </c>
      <c r="M18" s="5"/>
      <c r="N18" s="21">
        <v>32</v>
      </c>
      <c r="O18" s="22">
        <f t="shared" si="8"/>
        <v>2.0947176684881605</v>
      </c>
      <c r="P18" s="22">
        <f t="shared" si="9"/>
        <v>25.311171827565271</v>
      </c>
      <c r="Q18" s="22">
        <f t="shared" ref="Q18:Q19" si="40">(I18 - P18)</f>
        <v>28.230621331714229</v>
      </c>
      <c r="R18" s="22">
        <f t="shared" si="11"/>
        <v>1.8478224871667495</v>
      </c>
      <c r="S18" s="22">
        <f t="shared" ref="S18:S19" si="41">R18+O18</f>
        <v>3.94254015565491</v>
      </c>
      <c r="T18" s="22">
        <v>3</v>
      </c>
      <c r="U18" s="22">
        <f t="shared" ref="U18:U19" si="42">S18-T18</f>
        <v>0.94254015565491001</v>
      </c>
      <c r="V18" s="22">
        <f t="shared" ref="V18:V19" si="43">U18-R18</f>
        <v>-0.90528233151183946</v>
      </c>
      <c r="W18" s="22">
        <f t="shared" ref="W18:W19" si="44">I18</f>
        <v>53.5417931592795</v>
      </c>
      <c r="X18" s="22">
        <f t="shared" si="16"/>
        <v>14.399919044727792</v>
      </c>
      <c r="Y18" s="23">
        <f t="shared" ref="Y18:Y19" si="45">(W18-X18)</f>
        <v>39.141874114551712</v>
      </c>
      <c r="Z18" s="6"/>
    </row>
    <row r="19" spans="1:26" x14ac:dyDescent="0.25">
      <c r="B19">
        <v>60</v>
      </c>
      <c r="C19">
        <v>0</v>
      </c>
      <c r="D19" s="2">
        <f t="shared" si="0"/>
        <v>3.8000000000000003</v>
      </c>
      <c r="E19" s="2">
        <v>3.8</v>
      </c>
      <c r="F19" s="2">
        <f t="shared" si="1"/>
        <v>5.4644808743169406</v>
      </c>
      <c r="G19" s="2">
        <f t="shared" si="2"/>
        <v>6.4644808743169406</v>
      </c>
      <c r="H19" s="2">
        <f t="shared" si="3"/>
        <v>45.537340619307841</v>
      </c>
      <c r="I19" s="2">
        <f t="shared" si="4"/>
        <v>62.204007285974512</v>
      </c>
      <c r="J19" s="2">
        <f t="shared" si="5"/>
        <v>63.333333333333336</v>
      </c>
      <c r="K19" s="2">
        <f t="shared" si="39"/>
        <v>0</v>
      </c>
      <c r="L19" s="2">
        <f t="shared" si="7"/>
        <v>3.05</v>
      </c>
      <c r="M19" s="2"/>
      <c r="N19" s="24">
        <v>32</v>
      </c>
      <c r="O19" s="25">
        <f t="shared" si="8"/>
        <v>2.5500910746812391</v>
      </c>
      <c r="P19" s="25">
        <f t="shared" si="9"/>
        <v>32.584497065371394</v>
      </c>
      <c r="Q19" s="25">
        <f t="shared" si="40"/>
        <v>29.619510220603118</v>
      </c>
      <c r="R19" s="25">
        <f t="shared" si="11"/>
        <v>1.7771706132361869</v>
      </c>
      <c r="S19" s="25">
        <f t="shared" si="41"/>
        <v>4.3272616879174262</v>
      </c>
      <c r="T19" s="25">
        <v>3</v>
      </c>
      <c r="U19" s="25">
        <f t="shared" si="42"/>
        <v>1.3272616879174262</v>
      </c>
      <c r="V19" s="25">
        <f t="shared" si="43"/>
        <v>-0.4499089253187607</v>
      </c>
      <c r="W19" s="25">
        <f t="shared" si="44"/>
        <v>62.204007285974512</v>
      </c>
      <c r="X19" s="25">
        <f t="shared" si="16"/>
        <v>22.121028131957104</v>
      </c>
      <c r="Y19" s="26">
        <f t="shared" si="45"/>
        <v>40.082979154017409</v>
      </c>
      <c r="Z19" s="7"/>
    </row>
    <row r="20" spans="1:26" s="4" customFormat="1" x14ac:dyDescent="0.25">
      <c r="B20" s="4">
        <v>65</v>
      </c>
      <c r="C20" s="4">
        <v>0</v>
      </c>
      <c r="D20" s="5">
        <f t="shared" si="0"/>
        <v>4</v>
      </c>
      <c r="E20" s="5">
        <v>4</v>
      </c>
      <c r="F20" s="5">
        <f t="shared" si="1"/>
        <v>5.9198542805100187</v>
      </c>
      <c r="G20" s="5">
        <f t="shared" si="2"/>
        <v>6.9198542805100187</v>
      </c>
      <c r="H20" s="5">
        <f t="shared" si="3"/>
        <v>53.443128921271004</v>
      </c>
      <c r="I20" s="5">
        <f t="shared" si="4"/>
        <v>71.498684476826554</v>
      </c>
      <c r="J20" s="5">
        <f t="shared" si="5"/>
        <v>72.222222222222229</v>
      </c>
      <c r="K20" s="5">
        <f t="shared" ref="K20:K21" si="46">IF(I20-J20&lt;0, 0, I20-J20)</f>
        <v>0</v>
      </c>
      <c r="L20" s="5">
        <f t="shared" si="7"/>
        <v>3.05</v>
      </c>
      <c r="M20" s="5"/>
      <c r="N20" s="21">
        <v>32</v>
      </c>
      <c r="O20" s="22">
        <f t="shared" si="8"/>
        <v>3.0054644808743176</v>
      </c>
      <c r="P20" s="22">
        <f t="shared" si="9"/>
        <v>40.49028536733455</v>
      </c>
      <c r="Q20" s="22">
        <f t="shared" ref="Q20:Q21" si="47">(I20 - P20)</f>
        <v>31.008399109492004</v>
      </c>
      <c r="R20" s="22">
        <f t="shared" si="11"/>
        <v>1.7173882583718647</v>
      </c>
      <c r="S20" s="22">
        <f t="shared" ref="S20:S21" si="48">R20+O20</f>
        <v>4.7228527392461821</v>
      </c>
      <c r="T20" s="22">
        <v>3</v>
      </c>
      <c r="U20" s="22">
        <f t="shared" ref="U20:U21" si="49">S20-T20</f>
        <v>1.7228527392461821</v>
      </c>
      <c r="V20" s="22">
        <f t="shared" ref="V20:V21" si="50">U20-R20</f>
        <v>5.46448087431739E-3</v>
      </c>
      <c r="W20" s="22">
        <f t="shared" ref="W20:W21" si="51">I20</f>
        <v>71.498684476826554</v>
      </c>
      <c r="X20" s="22">
        <f t="shared" si="16"/>
        <v>31.107017810159896</v>
      </c>
      <c r="Y20" s="23">
        <f t="shared" ref="Y20:Y21" si="52">(W20-X20)</f>
        <v>40.391666666666659</v>
      </c>
      <c r="Z20" s="6"/>
    </row>
    <row r="21" spans="1:26" x14ac:dyDescent="0.25">
      <c r="B21">
        <v>70</v>
      </c>
      <c r="C21">
        <v>0</v>
      </c>
      <c r="D21" s="2">
        <f t="shared" si="0"/>
        <v>4.1999999999999993</v>
      </c>
      <c r="E21" s="2">
        <v>4.2</v>
      </c>
      <c r="F21" s="2">
        <f t="shared" si="1"/>
        <v>6.3752276867030968</v>
      </c>
      <c r="G21" s="2">
        <f t="shared" si="2"/>
        <v>7.3752276867030968</v>
      </c>
      <c r="H21" s="2">
        <f t="shared" si="3"/>
        <v>61.981380287391211</v>
      </c>
      <c r="I21" s="2">
        <f t="shared" si="4"/>
        <v>81.425824731835661</v>
      </c>
      <c r="J21" s="2">
        <f t="shared" si="5"/>
        <v>81.666666666666657</v>
      </c>
      <c r="K21" s="2">
        <f t="shared" si="46"/>
        <v>0</v>
      </c>
      <c r="L21" s="2">
        <f t="shared" si="7"/>
        <v>3.05</v>
      </c>
      <c r="M21" s="2"/>
      <c r="N21" s="24">
        <v>32</v>
      </c>
      <c r="O21" s="25">
        <f t="shared" si="8"/>
        <v>3.4608378870673953</v>
      </c>
      <c r="P21" s="25">
        <f t="shared" si="9"/>
        <v>49.028536733454779</v>
      </c>
      <c r="Q21" s="25">
        <f t="shared" si="47"/>
        <v>32.397287998380882</v>
      </c>
      <c r="R21" s="25">
        <f t="shared" si="11"/>
        <v>1.6661462399167313</v>
      </c>
      <c r="S21" s="25">
        <f t="shared" si="48"/>
        <v>5.1269841269841265</v>
      </c>
      <c r="T21" s="25">
        <v>3</v>
      </c>
      <c r="U21" s="25">
        <f t="shared" si="49"/>
        <v>2.1269841269841265</v>
      </c>
      <c r="V21" s="25">
        <f t="shared" si="50"/>
        <v>0.46083788706739526</v>
      </c>
      <c r="W21" s="25">
        <f t="shared" si="51"/>
        <v>81.425824731835661</v>
      </c>
      <c r="X21" s="25">
        <f t="shared" si="16"/>
        <v>41.034158065168981</v>
      </c>
      <c r="Y21" s="26">
        <f t="shared" si="52"/>
        <v>40.39166666666668</v>
      </c>
      <c r="Z21" s="7"/>
    </row>
    <row r="22" spans="1:26" s="4" customFormat="1" x14ac:dyDescent="0.25">
      <c r="B22" s="4">
        <v>75</v>
      </c>
      <c r="C22" s="4">
        <v>0</v>
      </c>
      <c r="D22" s="5">
        <f t="shared" si="0"/>
        <v>4.5</v>
      </c>
      <c r="E22" s="5">
        <v>4.5</v>
      </c>
      <c r="F22" s="5">
        <f t="shared" si="1"/>
        <v>6.8306010928961749</v>
      </c>
      <c r="G22" s="5">
        <f t="shared" si="2"/>
        <v>7.8306010928961749</v>
      </c>
      <c r="H22" s="5">
        <f t="shared" si="3"/>
        <v>71.152094717668476</v>
      </c>
      <c r="I22" s="5">
        <f t="shared" si="4"/>
        <v>91.985428051001804</v>
      </c>
      <c r="J22" s="5">
        <f t="shared" si="5"/>
        <v>93.75</v>
      </c>
      <c r="K22" s="5">
        <f t="shared" ref="K22:K23" si="53">IF(I22-J22&lt;0, 0, I22-J22)</f>
        <v>0</v>
      </c>
      <c r="L22" s="5">
        <f t="shared" si="7"/>
        <v>3.05</v>
      </c>
      <c r="M22" s="5"/>
      <c r="N22" s="21">
        <v>32</v>
      </c>
      <c r="O22" s="22">
        <f t="shared" si="8"/>
        <v>3.9162112932604738</v>
      </c>
      <c r="P22" s="22">
        <f t="shared" si="9"/>
        <v>58.199251163732058</v>
      </c>
      <c r="Q22" s="22">
        <f t="shared" ref="Q22:Q23" si="54">(I22 - P22)</f>
        <v>33.786176887269747</v>
      </c>
      <c r="R22" s="22">
        <f t="shared" si="11"/>
        <v>1.621736490588948</v>
      </c>
      <c r="S22" s="22">
        <f t="shared" ref="S22:S23" si="55">R22+O22</f>
        <v>5.5379477838494218</v>
      </c>
      <c r="T22" s="22">
        <v>3</v>
      </c>
      <c r="U22" s="22">
        <f t="shared" ref="U22:U23" si="56">S22-T22</f>
        <v>2.5379477838494218</v>
      </c>
      <c r="V22" s="22">
        <f t="shared" ref="V22:V23" si="57">U22-R22</f>
        <v>0.91621129326047379</v>
      </c>
      <c r="W22" s="22">
        <f t="shared" ref="W22:W23" si="58">I22</f>
        <v>91.985428051001804</v>
      </c>
      <c r="X22" s="22">
        <f t="shared" si="16"/>
        <v>51.593761384335124</v>
      </c>
      <c r="Y22" s="23">
        <f t="shared" ref="Y22:Y23" si="59">(W22-X22)</f>
        <v>40.39166666666668</v>
      </c>
      <c r="Z22" s="6"/>
    </row>
    <row r="23" spans="1:26" x14ac:dyDescent="0.25">
      <c r="B23">
        <v>80</v>
      </c>
      <c r="C23">
        <v>0</v>
      </c>
      <c r="D23" s="2">
        <f t="shared" si="0"/>
        <v>4.6999999999999993</v>
      </c>
      <c r="E23" s="2">
        <v>4.7</v>
      </c>
      <c r="F23" s="2">
        <f t="shared" si="1"/>
        <v>7.285974499089253</v>
      </c>
      <c r="G23" s="2">
        <f t="shared" si="2"/>
        <v>8.285974499089253</v>
      </c>
      <c r="H23" s="2">
        <f t="shared" si="3"/>
        <v>80.955272212102813</v>
      </c>
      <c r="I23" s="2">
        <f t="shared" si="4"/>
        <v>103.17749443432504</v>
      </c>
      <c r="J23" s="2">
        <f t="shared" si="5"/>
        <v>104.44444444444444</v>
      </c>
      <c r="K23" s="2">
        <f t="shared" si="53"/>
        <v>0</v>
      </c>
      <c r="L23" s="2">
        <f t="shared" si="7"/>
        <v>3.05</v>
      </c>
      <c r="M23" s="2"/>
      <c r="N23" s="24">
        <v>32</v>
      </c>
      <c r="O23" s="25">
        <f t="shared" si="8"/>
        <v>4.3715846994535523</v>
      </c>
      <c r="P23" s="25">
        <f t="shared" si="9"/>
        <v>68.002428658166366</v>
      </c>
      <c r="Q23" s="25">
        <f t="shared" si="54"/>
        <v>35.175065776158675</v>
      </c>
      <c r="R23" s="25">
        <f t="shared" si="11"/>
        <v>1.5828779599271405</v>
      </c>
      <c r="S23" s="25">
        <f t="shared" si="55"/>
        <v>5.9544626593806926</v>
      </c>
      <c r="T23" s="25">
        <v>3</v>
      </c>
      <c r="U23" s="25">
        <f t="shared" si="56"/>
        <v>2.9544626593806926</v>
      </c>
      <c r="V23" s="25">
        <f t="shared" si="57"/>
        <v>1.3715846994535521</v>
      </c>
      <c r="W23" s="25">
        <f t="shared" si="58"/>
        <v>103.17749443432504</v>
      </c>
      <c r="X23" s="25">
        <f t="shared" si="16"/>
        <v>62.785827767658368</v>
      </c>
      <c r="Y23" s="26">
        <f t="shared" si="59"/>
        <v>40.391666666666673</v>
      </c>
      <c r="Z23" s="7"/>
    </row>
    <row r="24" spans="1:26" s="4" customFormat="1" x14ac:dyDescent="0.25">
      <c r="B24" s="4">
        <v>85</v>
      </c>
      <c r="C24" s="4">
        <v>0</v>
      </c>
      <c r="D24" s="5">
        <f t="shared" si="0"/>
        <v>4.8999999999999995</v>
      </c>
      <c r="E24" s="5">
        <v>4.9000000000000004</v>
      </c>
      <c r="F24" s="5">
        <f t="shared" si="1"/>
        <v>7.741347905282332</v>
      </c>
      <c r="G24" s="5">
        <f t="shared" si="2"/>
        <v>8.741347905282332</v>
      </c>
      <c r="H24" s="5">
        <f t="shared" si="3"/>
        <v>91.390912770694186</v>
      </c>
      <c r="I24" s="5">
        <f t="shared" si="4"/>
        <v>115.0020238818053</v>
      </c>
      <c r="J24" s="5">
        <f t="shared" si="5"/>
        <v>115.69444444444446</v>
      </c>
      <c r="K24" s="5">
        <f t="shared" ref="K24:K25" si="60">IF(I24-J24&lt;0, 0, I24-J24)</f>
        <v>0</v>
      </c>
      <c r="L24" s="5">
        <f t="shared" si="7"/>
        <v>3.05</v>
      </c>
      <c r="M24" s="5"/>
      <c r="N24" s="21">
        <v>32</v>
      </c>
      <c r="O24" s="22">
        <f t="shared" si="8"/>
        <v>4.8269581056466304</v>
      </c>
      <c r="P24" s="22">
        <f t="shared" si="9"/>
        <v>78.438069216757739</v>
      </c>
      <c r="Q24" s="22">
        <f t="shared" ref="Q24:Q25" si="61">(I24 - P24)</f>
        <v>36.563954665047561</v>
      </c>
      <c r="R24" s="22">
        <f t="shared" si="11"/>
        <v>1.5485910211078968</v>
      </c>
      <c r="S24" s="22">
        <f t="shared" ref="S24:S25" si="62">R24+O24</f>
        <v>6.3755491267545272</v>
      </c>
      <c r="T24" s="22">
        <v>3</v>
      </c>
      <c r="U24" s="22">
        <f t="shared" ref="U24:U25" si="63">S24-T24</f>
        <v>3.3755491267545272</v>
      </c>
      <c r="V24" s="22">
        <f t="shared" ref="V24:V25" si="64">U24-R24</f>
        <v>1.8269581056466304</v>
      </c>
      <c r="W24" s="22">
        <f t="shared" ref="W24:W25" si="65">I24</f>
        <v>115.0020238818053</v>
      </c>
      <c r="X24" s="22">
        <f t="shared" si="16"/>
        <v>74.610357215138649</v>
      </c>
      <c r="Y24" s="23">
        <f t="shared" ref="Y24:Y25" si="66">(W24-X24)</f>
        <v>40.391666666666652</v>
      </c>
      <c r="Z24" s="6"/>
    </row>
    <row r="25" spans="1:26" x14ac:dyDescent="0.25">
      <c r="B25">
        <v>90</v>
      </c>
      <c r="C25">
        <v>0</v>
      </c>
      <c r="D25" s="2">
        <f t="shared" si="0"/>
        <v>5.0999999999999996</v>
      </c>
      <c r="E25" s="2">
        <v>5.0999999999999996</v>
      </c>
      <c r="F25" s="2">
        <f t="shared" si="1"/>
        <v>8.1967213114754109</v>
      </c>
      <c r="G25" s="2">
        <f t="shared" si="2"/>
        <v>9.1967213114754109</v>
      </c>
      <c r="H25" s="2">
        <f t="shared" si="3"/>
        <v>102.45901639344262</v>
      </c>
      <c r="I25" s="2">
        <f t="shared" si="4"/>
        <v>127.45901639344262</v>
      </c>
      <c r="J25" s="2">
        <f t="shared" si="5"/>
        <v>127.49999999999999</v>
      </c>
      <c r="K25" s="2">
        <f t="shared" si="60"/>
        <v>0</v>
      </c>
      <c r="L25" s="2">
        <f t="shared" si="7"/>
        <v>3.05</v>
      </c>
      <c r="M25" s="2"/>
      <c r="N25" s="24">
        <v>32</v>
      </c>
      <c r="O25" s="25">
        <f t="shared" si="8"/>
        <v>5.2823315118397085</v>
      </c>
      <c r="P25" s="25">
        <f t="shared" si="9"/>
        <v>89.506172839506178</v>
      </c>
      <c r="Q25" s="25">
        <f t="shared" si="61"/>
        <v>37.952843553936447</v>
      </c>
      <c r="R25" s="25">
        <f t="shared" si="11"/>
        <v>1.5181137421574578</v>
      </c>
      <c r="S25" s="25">
        <f t="shared" si="62"/>
        <v>6.8004452539971663</v>
      </c>
      <c r="T25" s="25">
        <v>3</v>
      </c>
      <c r="U25" s="25">
        <f t="shared" si="63"/>
        <v>3.8004452539971663</v>
      </c>
      <c r="V25" s="25">
        <f t="shared" si="64"/>
        <v>2.2823315118397085</v>
      </c>
      <c r="W25" s="25">
        <f t="shared" si="65"/>
        <v>127.45901639344262</v>
      </c>
      <c r="X25" s="25">
        <f t="shared" si="16"/>
        <v>87.067349726775944</v>
      </c>
      <c r="Y25" s="26">
        <f t="shared" si="66"/>
        <v>40.39166666666668</v>
      </c>
      <c r="Z25" s="7"/>
    </row>
    <row r="26" spans="1:26" s="4" customFormat="1" x14ac:dyDescent="0.25">
      <c r="B26" s="4">
        <v>95</v>
      </c>
      <c r="C26" s="4">
        <v>0</v>
      </c>
      <c r="D26" s="5">
        <f t="shared" si="0"/>
        <v>5.3999999999999995</v>
      </c>
      <c r="E26" s="5">
        <v>5.4</v>
      </c>
      <c r="F26" s="5">
        <f t="shared" si="1"/>
        <v>8.6520947176684881</v>
      </c>
      <c r="G26" s="5">
        <f t="shared" si="2"/>
        <v>9.6520947176684881</v>
      </c>
      <c r="H26" s="5">
        <f t="shared" si="3"/>
        <v>114.15958308034811</v>
      </c>
      <c r="I26" s="5">
        <f t="shared" si="4"/>
        <v>140.548471969237</v>
      </c>
      <c r="J26" s="5">
        <f t="shared" si="5"/>
        <v>142.5</v>
      </c>
      <c r="K26" s="5">
        <f t="shared" ref="K26:K27" si="67">IF(I26-J26&lt;0, 0, I26-J26)</f>
        <v>0</v>
      </c>
      <c r="L26" s="5">
        <f t="shared" si="7"/>
        <v>3.05</v>
      </c>
      <c r="M26" s="5"/>
      <c r="N26" s="21">
        <v>32</v>
      </c>
      <c r="O26" s="22">
        <f t="shared" si="8"/>
        <v>5.7377049180327875</v>
      </c>
      <c r="P26" s="22">
        <f t="shared" si="9"/>
        <v>101.20673952641165</v>
      </c>
      <c r="Q26" s="22">
        <f t="shared" ref="Q26:Q27" si="68">(I26 - P26)</f>
        <v>39.341732442825347</v>
      </c>
      <c r="R26" s="22">
        <f t="shared" si="11"/>
        <v>1.4908445978333815</v>
      </c>
      <c r="S26" s="22">
        <f t="shared" ref="S26:S27" si="69">R26+O26</f>
        <v>7.2285495158661686</v>
      </c>
      <c r="T26" s="22">
        <v>3</v>
      </c>
      <c r="U26" s="22">
        <f t="shared" ref="U26:U27" si="70">S26-T26</f>
        <v>4.2285495158661686</v>
      </c>
      <c r="V26" s="22">
        <f t="shared" ref="V26:V27" si="71">U26-R26</f>
        <v>2.737704918032787</v>
      </c>
      <c r="W26" s="22">
        <f t="shared" ref="W26:W27" si="72">I26</f>
        <v>140.548471969237</v>
      </c>
      <c r="X26" s="22">
        <f t="shared" si="16"/>
        <v>100.15680530257035</v>
      </c>
      <c r="Y26" s="23">
        <f t="shared" ref="Y26:Y27" si="73">(W26-X26)</f>
        <v>40.391666666666652</v>
      </c>
      <c r="Z26" s="6"/>
    </row>
    <row r="27" spans="1:26" x14ac:dyDescent="0.25">
      <c r="B27">
        <v>100</v>
      </c>
      <c r="C27">
        <v>0</v>
      </c>
      <c r="D27" s="2">
        <f t="shared" si="0"/>
        <v>5.6</v>
      </c>
      <c r="E27" s="2">
        <v>5.6</v>
      </c>
      <c r="F27" s="2">
        <f t="shared" si="1"/>
        <v>9.1074681238615671</v>
      </c>
      <c r="G27" s="2">
        <f t="shared" si="2"/>
        <v>10.107468123861567</v>
      </c>
      <c r="H27" s="2">
        <f t="shared" si="3"/>
        <v>126.49261283141065</v>
      </c>
      <c r="I27" s="2">
        <f t="shared" si="4"/>
        <v>154.27039060918844</v>
      </c>
      <c r="J27" s="2">
        <f t="shared" si="5"/>
        <v>155.55555555555554</v>
      </c>
      <c r="K27" s="2">
        <f t="shared" si="67"/>
        <v>0</v>
      </c>
      <c r="L27" s="2">
        <f t="shared" si="7"/>
        <v>3.05</v>
      </c>
      <c r="M27" s="2"/>
      <c r="N27" s="24">
        <v>32</v>
      </c>
      <c r="O27" s="25">
        <f t="shared" si="8"/>
        <v>6.1930783242258656</v>
      </c>
      <c r="P27" s="25">
        <f t="shared" si="9"/>
        <v>113.53976927747421</v>
      </c>
      <c r="Q27" s="25">
        <f t="shared" si="68"/>
        <v>40.730621331714232</v>
      </c>
      <c r="R27" s="25">
        <f t="shared" si="11"/>
        <v>1.4663023679417124</v>
      </c>
      <c r="S27" s="25">
        <f t="shared" si="69"/>
        <v>7.659380692167578</v>
      </c>
      <c r="T27" s="25">
        <v>3</v>
      </c>
      <c r="U27" s="25">
        <f t="shared" si="70"/>
        <v>4.659380692167578</v>
      </c>
      <c r="V27" s="25">
        <f t="shared" si="71"/>
        <v>3.1930783242258656</v>
      </c>
      <c r="W27" s="25">
        <f t="shared" si="72"/>
        <v>154.27039060918844</v>
      </c>
      <c r="X27" s="25">
        <f t="shared" si="16"/>
        <v>113.87872394252175</v>
      </c>
      <c r="Y27" s="26">
        <f t="shared" si="73"/>
        <v>40.391666666666694</v>
      </c>
      <c r="Z27" s="7"/>
    </row>
    <row r="28" spans="1:26" s="4" customFormat="1" x14ac:dyDescent="0.25">
      <c r="B28" s="4">
        <v>105</v>
      </c>
      <c r="C28" s="4">
        <v>0</v>
      </c>
      <c r="D28" s="5">
        <f t="shared" si="0"/>
        <v>5.8</v>
      </c>
      <c r="E28" s="5">
        <v>5.8</v>
      </c>
      <c r="F28" s="5">
        <f t="shared" si="1"/>
        <v>9.5628415300546461</v>
      </c>
      <c r="G28" s="5">
        <f t="shared" si="2"/>
        <v>10.562841530054646</v>
      </c>
      <c r="H28" s="5">
        <f t="shared" si="3"/>
        <v>139.45810564663026</v>
      </c>
      <c r="I28" s="5">
        <f t="shared" si="4"/>
        <v>168.62477231329692</v>
      </c>
      <c r="J28" s="5">
        <f t="shared" si="5"/>
        <v>169.16666666666666</v>
      </c>
      <c r="K28" s="5">
        <f t="shared" ref="K28:K29" si="74">IF(I28-J28&lt;0, 0, I28-J28)</f>
        <v>0</v>
      </c>
      <c r="L28" s="5">
        <f t="shared" si="7"/>
        <v>3.05</v>
      </c>
      <c r="M28" s="5"/>
      <c r="N28" s="21">
        <v>32</v>
      </c>
      <c r="O28" s="22">
        <f t="shared" si="8"/>
        <v>6.6484517304189445</v>
      </c>
      <c r="P28" s="22">
        <f t="shared" si="9"/>
        <v>126.5052620926938</v>
      </c>
      <c r="Q28" s="22">
        <f t="shared" ref="Q28:Q29" si="75">(I28 - P28)</f>
        <v>42.119510220603118</v>
      </c>
      <c r="R28" s="22">
        <f t="shared" si="11"/>
        <v>1.4440974932778212</v>
      </c>
      <c r="S28" s="22">
        <f t="shared" ref="S28:S29" si="76">R28+O28</f>
        <v>8.092549223696766</v>
      </c>
      <c r="T28" s="22">
        <v>3</v>
      </c>
      <c r="U28" s="22">
        <f t="shared" ref="U28:U29" si="77">S28-T28</f>
        <v>5.092549223696766</v>
      </c>
      <c r="V28" s="22">
        <f t="shared" ref="V28:V29" si="78">U28-R28</f>
        <v>3.6484517304189445</v>
      </c>
      <c r="W28" s="22">
        <f t="shared" ref="W28:W29" si="79">I28</f>
        <v>168.62477231329692</v>
      </c>
      <c r="X28" s="22">
        <f t="shared" si="16"/>
        <v>128.23310564663026</v>
      </c>
      <c r="Y28" s="23">
        <f t="shared" ref="Y28:Y29" si="80">(W28-X28)</f>
        <v>40.391666666666652</v>
      </c>
      <c r="Z28" s="6"/>
    </row>
    <row r="29" spans="1:26" x14ac:dyDescent="0.25">
      <c r="B29">
        <v>110</v>
      </c>
      <c r="C29">
        <v>0</v>
      </c>
      <c r="D29" s="2">
        <f t="shared" si="0"/>
        <v>6.1</v>
      </c>
      <c r="E29" s="2">
        <v>6.1</v>
      </c>
      <c r="F29" s="2">
        <f t="shared" si="1"/>
        <v>10.018214936247725</v>
      </c>
      <c r="G29" s="2">
        <f t="shared" si="2"/>
        <v>11.018214936247725</v>
      </c>
      <c r="H29" s="2">
        <f t="shared" si="3"/>
        <v>153.05606152600689</v>
      </c>
      <c r="I29" s="2">
        <f t="shared" si="4"/>
        <v>183.61161708156243</v>
      </c>
      <c r="J29" s="2">
        <f t="shared" si="5"/>
        <v>186.38888888888889</v>
      </c>
      <c r="K29" s="2">
        <f t="shared" si="74"/>
        <v>0</v>
      </c>
      <c r="L29" s="2">
        <f t="shared" si="7"/>
        <v>3.05</v>
      </c>
      <c r="M29" s="2"/>
      <c r="N29" s="24">
        <v>32</v>
      </c>
      <c r="O29" s="25">
        <f t="shared" si="8"/>
        <v>7.1038251366120226</v>
      </c>
      <c r="P29" s="25">
        <f t="shared" si="9"/>
        <v>140.10321797207044</v>
      </c>
      <c r="Q29" s="25">
        <f t="shared" si="75"/>
        <v>43.50839910949199</v>
      </c>
      <c r="R29" s="25">
        <f t="shared" si="11"/>
        <v>1.4239112435833741</v>
      </c>
      <c r="S29" s="25">
        <f t="shared" si="76"/>
        <v>8.527736380195396</v>
      </c>
      <c r="T29" s="25">
        <v>3</v>
      </c>
      <c r="U29" s="25">
        <f t="shared" si="77"/>
        <v>5.527736380195396</v>
      </c>
      <c r="V29" s="25">
        <f t="shared" si="78"/>
        <v>4.1038251366120218</v>
      </c>
      <c r="W29" s="25">
        <f t="shared" si="79"/>
        <v>183.61161708156243</v>
      </c>
      <c r="X29" s="25">
        <f t="shared" si="16"/>
        <v>143.21995041489578</v>
      </c>
      <c r="Y29" s="26">
        <f t="shared" si="80"/>
        <v>40.391666666666652</v>
      </c>
      <c r="Z29" s="7"/>
    </row>
    <row r="30" spans="1:26" s="4" customFormat="1" x14ac:dyDescent="0.25">
      <c r="B30" s="4">
        <v>115</v>
      </c>
      <c r="C30" s="4">
        <v>0</v>
      </c>
      <c r="D30" s="5">
        <f t="shared" si="0"/>
        <v>6.3</v>
      </c>
      <c r="E30" s="5">
        <v>6.3</v>
      </c>
      <c r="F30" s="5">
        <f t="shared" si="1"/>
        <v>10.473588342440802</v>
      </c>
      <c r="G30" s="5">
        <f t="shared" si="2"/>
        <v>11.473588342440802</v>
      </c>
      <c r="H30" s="5">
        <f t="shared" si="3"/>
        <v>167.28648046954058</v>
      </c>
      <c r="I30" s="5">
        <f t="shared" si="4"/>
        <v>199.23092491398501</v>
      </c>
      <c r="J30" s="5">
        <f t="shared" si="5"/>
        <v>201.24999999999997</v>
      </c>
      <c r="K30" s="5">
        <f t="shared" ref="K30" si="81">IF(I30-J30&lt;0, 0, I30-J30)</f>
        <v>0</v>
      </c>
      <c r="L30" s="5">
        <f t="shared" si="7"/>
        <v>3.05</v>
      </c>
      <c r="M30" s="5"/>
      <c r="N30" s="21">
        <v>32</v>
      </c>
      <c r="O30" s="22">
        <f t="shared" si="8"/>
        <v>7.5591985428051007</v>
      </c>
      <c r="P30" s="22">
        <f t="shared" si="9"/>
        <v>154.33363691560416</v>
      </c>
      <c r="Q30" s="22">
        <f t="shared" ref="Q30" si="82">(I30 - P30)</f>
        <v>44.897287998380847</v>
      </c>
      <c r="R30" s="22">
        <f t="shared" si="11"/>
        <v>1.4054803199493136</v>
      </c>
      <c r="S30" s="22">
        <f t="shared" ref="S30" si="83">R30+O30</f>
        <v>8.9646788627544147</v>
      </c>
      <c r="T30" s="22">
        <v>3</v>
      </c>
      <c r="U30" s="22">
        <f t="shared" ref="U30" si="84">S30-T30</f>
        <v>5.9646788627544147</v>
      </c>
      <c r="V30" s="22">
        <f t="shared" ref="V30" si="85">U30-R30</f>
        <v>4.5591985428051007</v>
      </c>
      <c r="W30" s="22">
        <f t="shared" ref="W30" si="86">I30</f>
        <v>199.23092491398501</v>
      </c>
      <c r="X30" s="22">
        <f t="shared" si="16"/>
        <v>158.83925824731833</v>
      </c>
      <c r="Y30" s="23">
        <f t="shared" ref="Y30" si="87">(W30-X30)</f>
        <v>40.39166666666668</v>
      </c>
      <c r="Z30" s="6"/>
    </row>
    <row r="31" spans="1:26" x14ac:dyDescent="0.25">
      <c r="A31" s="3"/>
      <c r="Y31" s="1"/>
      <c r="Z31" s="1"/>
    </row>
    <row r="32" spans="1:26" x14ac:dyDescent="0.25">
      <c r="A32" s="3" t="s">
        <v>4</v>
      </c>
      <c r="Y32" s="1"/>
      <c r="Z32" s="1"/>
    </row>
    <row r="34" spans="1:11" x14ac:dyDescent="0.25">
      <c r="A34" s="11" t="s">
        <v>23</v>
      </c>
      <c r="B34" s="11"/>
      <c r="C34" s="11"/>
      <c r="D34" s="11"/>
      <c r="G34" s="28" t="s">
        <v>22</v>
      </c>
    </row>
    <row r="35" spans="1:11" x14ac:dyDescent="0.25">
      <c r="A35" s="11" t="s">
        <v>21</v>
      </c>
      <c r="B35" s="11"/>
      <c r="C35" s="11"/>
      <c r="D35" s="11"/>
    </row>
    <row r="36" spans="1:11" s="13" customFormat="1" x14ac:dyDescent="0.25">
      <c r="A36" s="12" t="s">
        <v>73</v>
      </c>
      <c r="B36" s="12"/>
      <c r="C36" s="12"/>
      <c r="D36" s="12"/>
    </row>
    <row r="37" spans="1:11" x14ac:dyDescent="0.25">
      <c r="A37" s="11" t="s">
        <v>74</v>
      </c>
      <c r="B37" s="11"/>
      <c r="C37" s="11"/>
      <c r="D37" s="11"/>
    </row>
    <row r="38" spans="1:11" x14ac:dyDescent="0.25">
      <c r="A38" s="11" t="s">
        <v>17</v>
      </c>
      <c r="B38" s="11"/>
      <c r="C38" s="11"/>
      <c r="D38" s="11"/>
    </row>
    <row r="39" spans="1:11" x14ac:dyDescent="0.25">
      <c r="A39" s="11" t="s">
        <v>18</v>
      </c>
      <c r="B39" s="11"/>
      <c r="C39" s="11"/>
      <c r="D39" s="11"/>
    </row>
    <row r="40" spans="1:11" x14ac:dyDescent="0.25">
      <c r="A40" s="11" t="s">
        <v>88</v>
      </c>
      <c r="B40" s="11"/>
      <c r="C40" s="11"/>
      <c r="D40" s="11"/>
    </row>
    <row r="41" spans="1:11" x14ac:dyDescent="0.25">
      <c r="A41" s="11" t="s">
        <v>19</v>
      </c>
      <c r="B41" s="11"/>
      <c r="C41" s="11"/>
      <c r="D41" s="11"/>
    </row>
    <row r="42" spans="1:11" x14ac:dyDescent="0.25">
      <c r="A42" s="11" t="s">
        <v>20</v>
      </c>
      <c r="B42" s="11"/>
      <c r="C42" s="11"/>
      <c r="D42" s="11"/>
    </row>
    <row r="43" spans="1:11" x14ac:dyDescent="0.25">
      <c r="A43" s="11" t="s">
        <v>75</v>
      </c>
      <c r="B43" s="11"/>
      <c r="C43" s="11"/>
      <c r="D43" s="11"/>
      <c r="K43" s="28" t="s">
        <v>24</v>
      </c>
    </row>
    <row r="44" spans="1:11" x14ac:dyDescent="0.25">
      <c r="A44" s="11" t="s">
        <v>25</v>
      </c>
      <c r="B44" s="11"/>
      <c r="C44" s="11"/>
      <c r="D44" s="11"/>
      <c r="E44" s="28" t="s">
        <v>26</v>
      </c>
    </row>
    <row r="45" spans="1:11" x14ac:dyDescent="0.25">
      <c r="A45" s="11" t="s">
        <v>86</v>
      </c>
    </row>
  </sheetData>
  <conditionalFormatting sqref="E10">
    <cfRule type="cellIs" dxfId="41" priority="161" operator="lessThan">
      <formula>D10</formula>
    </cfRule>
  </conditionalFormatting>
  <conditionalFormatting sqref="E11">
    <cfRule type="cellIs" dxfId="40" priority="155" operator="lessThan">
      <formula>D11</formula>
    </cfRule>
  </conditionalFormatting>
  <conditionalFormatting sqref="X10">
    <cfRule type="expression" dxfId="39" priority="69">
      <formula>$X$10&gt;0</formula>
    </cfRule>
  </conditionalFormatting>
  <conditionalFormatting sqref="X11">
    <cfRule type="expression" dxfId="38" priority="68">
      <formula>$X$11&gt;0</formula>
    </cfRule>
  </conditionalFormatting>
  <conditionalFormatting sqref="E12">
    <cfRule type="cellIs" dxfId="37" priority="38" operator="lessThan">
      <formula>D12</formula>
    </cfRule>
  </conditionalFormatting>
  <conditionalFormatting sqref="X12">
    <cfRule type="expression" dxfId="36" priority="37">
      <formula>$X$10&gt;0</formula>
    </cfRule>
  </conditionalFormatting>
  <conditionalFormatting sqref="E14">
    <cfRule type="cellIs" dxfId="35" priority="36" operator="lessThan">
      <formula>D14</formula>
    </cfRule>
  </conditionalFormatting>
  <conditionalFormatting sqref="X14">
    <cfRule type="expression" dxfId="34" priority="35">
      <formula>$X$10&gt;0</formula>
    </cfRule>
  </conditionalFormatting>
  <conditionalFormatting sqref="E16">
    <cfRule type="cellIs" dxfId="33" priority="34" operator="lessThan">
      <formula>D16</formula>
    </cfRule>
  </conditionalFormatting>
  <conditionalFormatting sqref="X16">
    <cfRule type="expression" dxfId="32" priority="33">
      <formula>$X$10&gt;0</formula>
    </cfRule>
  </conditionalFormatting>
  <conditionalFormatting sqref="E18">
    <cfRule type="cellIs" dxfId="31" priority="32" operator="lessThan">
      <formula>D18</formula>
    </cfRule>
  </conditionalFormatting>
  <conditionalFormatting sqref="X18">
    <cfRule type="expression" dxfId="30" priority="31">
      <formula>$X$10&gt;0</formula>
    </cfRule>
  </conditionalFormatting>
  <conditionalFormatting sqref="E20">
    <cfRule type="cellIs" dxfId="29" priority="30" operator="lessThan">
      <formula>D20</formula>
    </cfRule>
  </conditionalFormatting>
  <conditionalFormatting sqref="X20">
    <cfRule type="expression" dxfId="28" priority="29">
      <formula>$X$10&gt;0</formula>
    </cfRule>
  </conditionalFormatting>
  <conditionalFormatting sqref="E22">
    <cfRule type="cellIs" dxfId="27" priority="28" operator="lessThan">
      <formula>D22</formula>
    </cfRule>
  </conditionalFormatting>
  <conditionalFormatting sqref="X22">
    <cfRule type="expression" dxfId="26" priority="27">
      <formula>$X$10&gt;0</formula>
    </cfRule>
  </conditionalFormatting>
  <conditionalFormatting sqref="E24">
    <cfRule type="cellIs" dxfId="25" priority="26" operator="lessThan">
      <formula>D24</formula>
    </cfRule>
  </conditionalFormatting>
  <conditionalFormatting sqref="X24">
    <cfRule type="expression" dxfId="24" priority="25">
      <formula>$X$10&gt;0</formula>
    </cfRule>
  </conditionalFormatting>
  <conditionalFormatting sqref="E26">
    <cfRule type="cellIs" dxfId="23" priority="24" operator="lessThan">
      <formula>D26</formula>
    </cfRule>
  </conditionalFormatting>
  <conditionalFormatting sqref="X26">
    <cfRule type="expression" dxfId="22" priority="23">
      <formula>$X$10&gt;0</formula>
    </cfRule>
  </conditionalFormatting>
  <conditionalFormatting sqref="E28">
    <cfRule type="cellIs" dxfId="21" priority="22" operator="lessThan">
      <formula>D28</formula>
    </cfRule>
  </conditionalFormatting>
  <conditionalFormatting sqref="X28">
    <cfRule type="expression" dxfId="20" priority="21">
      <formula>$X$10&gt;0</formula>
    </cfRule>
  </conditionalFormatting>
  <conditionalFormatting sqref="E30">
    <cfRule type="cellIs" dxfId="19" priority="20" operator="lessThan">
      <formula>D30</formula>
    </cfRule>
  </conditionalFormatting>
  <conditionalFormatting sqref="X30">
    <cfRule type="expression" dxfId="18" priority="19">
      <formula>$X$10&gt;0</formula>
    </cfRule>
  </conditionalFormatting>
  <conditionalFormatting sqref="E13">
    <cfRule type="cellIs" dxfId="17" priority="18" operator="lessThan">
      <formula>D13</formula>
    </cfRule>
  </conditionalFormatting>
  <conditionalFormatting sqref="X13">
    <cfRule type="expression" dxfId="16" priority="17">
      <formula>$X$11&gt;0</formula>
    </cfRule>
  </conditionalFormatting>
  <conditionalFormatting sqref="E15">
    <cfRule type="cellIs" dxfId="15" priority="16" operator="lessThan">
      <formula>D15</formula>
    </cfRule>
  </conditionalFormatting>
  <conditionalFormatting sqref="X15">
    <cfRule type="expression" dxfId="14" priority="15">
      <formula>$X$11&gt;0</formula>
    </cfRule>
  </conditionalFormatting>
  <conditionalFormatting sqref="E17">
    <cfRule type="cellIs" dxfId="13" priority="14" operator="lessThan">
      <formula>D17</formula>
    </cfRule>
  </conditionalFormatting>
  <conditionalFormatting sqref="X17">
    <cfRule type="expression" dxfId="12" priority="13">
      <formula>$X$11&gt;0</formula>
    </cfRule>
  </conditionalFormatting>
  <conditionalFormatting sqref="E19">
    <cfRule type="cellIs" dxfId="11" priority="12" operator="lessThan">
      <formula>D19</formula>
    </cfRule>
  </conditionalFormatting>
  <conditionalFormatting sqref="X19">
    <cfRule type="expression" dxfId="10" priority="11">
      <formula>$X$11&gt;0</formula>
    </cfRule>
  </conditionalFormatting>
  <conditionalFormatting sqref="E21">
    <cfRule type="cellIs" dxfId="9" priority="10" operator="lessThan">
      <formula>D21</formula>
    </cfRule>
  </conditionalFormatting>
  <conditionalFormatting sqref="X21">
    <cfRule type="expression" dxfId="8" priority="9">
      <formula>$X$11&gt;0</formula>
    </cfRule>
  </conditionalFormatting>
  <conditionalFormatting sqref="E23">
    <cfRule type="cellIs" dxfId="7" priority="8" operator="lessThan">
      <formula>D23</formula>
    </cfRule>
  </conditionalFormatting>
  <conditionalFormatting sqref="X23">
    <cfRule type="expression" dxfId="6" priority="7">
      <formula>$X$11&gt;0</formula>
    </cfRule>
  </conditionalFormatting>
  <conditionalFormatting sqref="E25">
    <cfRule type="cellIs" dxfId="5" priority="6" operator="lessThan">
      <formula>D25</formula>
    </cfRule>
  </conditionalFormatting>
  <conditionalFormatting sqref="X25">
    <cfRule type="expression" dxfId="4" priority="5">
      <formula>$X$11&gt;0</formula>
    </cfRule>
  </conditionalFormatting>
  <conditionalFormatting sqref="E27">
    <cfRule type="cellIs" dxfId="3" priority="4" operator="lessThan">
      <formula>D27</formula>
    </cfRule>
  </conditionalFormatting>
  <conditionalFormatting sqref="X27">
    <cfRule type="expression" dxfId="2" priority="3">
      <formula>$X$11&gt;0</formula>
    </cfRule>
  </conditionalFormatting>
  <conditionalFormatting sqref="E29">
    <cfRule type="cellIs" dxfId="1" priority="2" operator="lessThan">
      <formula>D29</formula>
    </cfRule>
  </conditionalFormatting>
  <conditionalFormatting sqref="X29">
    <cfRule type="expression" dxfId="0" priority="1">
      <formula>$X$11&gt;0</formula>
    </cfRule>
  </conditionalFormatting>
  <hyperlinks>
    <hyperlink ref="G34" r:id="rId1"/>
    <hyperlink ref="K43" r:id="rId2"/>
    <hyperlink ref="E44" r:id="rId3"/>
  </hyperlinks>
  <pageMargins left="0.7" right="0.7" top="0.75" bottom="0.75" header="0.3" footer="0.3"/>
  <pageSetup paperSize="3" fitToHeight="0" orientation="landscape" horizontalDpi="4294967293" r:id="rId4"/>
  <customProperties>
    <customPr name="SSCSheetTrackingNo" r:id="rId5"/>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customProperties>
    <customPr name="SSCSheetTrackingNo"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customProperties>
    <customPr name="SSCSheetTrackingNo"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Sheet1!Print_Titles</vt:lpstr>
    </vt:vector>
  </TitlesOfParts>
  <Company>Talus Music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 Ceccarelli</dc:creator>
  <cp:lastModifiedBy>bceccarelli</cp:lastModifiedBy>
  <cp:lastPrinted>2010-12-01T13:18:39Z</cp:lastPrinted>
  <dcterms:created xsi:type="dcterms:W3CDTF">2009-12-05T18:38:03Z</dcterms:created>
  <dcterms:modified xsi:type="dcterms:W3CDTF">2015-05-09T15:34:53Z</dcterms:modified>
</cp:coreProperties>
</file>