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M:\Documents\YellowLight\Exhibits\"/>
    </mc:Choice>
  </mc:AlternateContent>
  <xr:revisionPtr revIDLastSave="0" documentId="13_ncr:1_{C2F70C3B-55D5-430B-BD36-487552B933C7}" xr6:coauthVersionLast="45" xr6:coauthVersionMax="45" xr10:uidLastSave="{00000000-0000-0000-0000-000000000000}"/>
  <bookViews>
    <workbookView xWindow="3240" yWindow="1890" windowWidth="23295" windowHeight="12480" xr2:uid="{00000000-000D-0000-FFFF-FFFF00000000}"/>
  </bookViews>
  <sheets>
    <sheet name="Sheet1" sheetId="1" r:id="rId1"/>
  </sheets>
  <definedNames>
    <definedName name="_xlnm.Print_Titles" localSheetId="0">Sheet1!$A:$A</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27" i="1" l="1"/>
  <c r="X26" i="1"/>
  <c r="X25" i="1"/>
  <c r="X24" i="1"/>
  <c r="X23" i="1"/>
  <c r="X22" i="1"/>
  <c r="X21" i="1"/>
  <c r="X20" i="1"/>
  <c r="X19" i="1"/>
  <c r="X18" i="1"/>
  <c r="X17" i="1"/>
  <c r="W27" i="1"/>
  <c r="W26" i="1"/>
  <c r="W25" i="1"/>
  <c r="W24" i="1"/>
  <c r="W23" i="1"/>
  <c r="W22" i="1"/>
  <c r="W21" i="1"/>
  <c r="W20" i="1"/>
  <c r="W19" i="1"/>
  <c r="W18" i="1"/>
  <c r="W17" i="1"/>
  <c r="V27" i="1"/>
  <c r="V26" i="1"/>
  <c r="V25" i="1"/>
  <c r="V24" i="1"/>
  <c r="V23" i="1"/>
  <c r="V22" i="1"/>
  <c r="V21" i="1"/>
  <c r="V20" i="1"/>
  <c r="V19" i="1"/>
  <c r="V18" i="1"/>
  <c r="V17" i="1"/>
  <c r="U27" i="1"/>
  <c r="U26" i="1"/>
  <c r="U25" i="1"/>
  <c r="U24" i="1"/>
  <c r="U23" i="1"/>
  <c r="U22" i="1"/>
  <c r="U21" i="1"/>
  <c r="U20" i="1"/>
  <c r="U19" i="1"/>
  <c r="U18" i="1"/>
  <c r="U17" i="1"/>
  <c r="Q17" i="1"/>
  <c r="S17" i="1"/>
  <c r="S18" i="1"/>
  <c r="D17" i="1"/>
  <c r="E17" i="1"/>
  <c r="F17" i="1"/>
  <c r="I17" i="1"/>
  <c r="J17" i="1"/>
  <c r="K17" i="1"/>
  <c r="M17" i="1"/>
  <c r="N17" i="1"/>
  <c r="O17" i="1"/>
  <c r="P17" i="1"/>
  <c r="R17" i="1"/>
  <c r="T17" i="1"/>
  <c r="D18" i="1"/>
  <c r="E18" i="1"/>
  <c r="F18" i="1"/>
  <c r="I18" i="1"/>
  <c r="J18" i="1"/>
  <c r="K18" i="1"/>
  <c r="M18" i="1"/>
  <c r="N18" i="1"/>
  <c r="O18" i="1"/>
  <c r="P18" i="1"/>
  <c r="Q18" i="1"/>
  <c r="R18" i="1"/>
  <c r="T18" i="1"/>
  <c r="D19" i="1"/>
  <c r="E19" i="1"/>
  <c r="F19" i="1"/>
  <c r="I19" i="1"/>
  <c r="J19" i="1"/>
  <c r="K19" i="1"/>
  <c r="M19" i="1"/>
  <c r="N19" i="1"/>
  <c r="O19" i="1"/>
  <c r="P19" i="1"/>
  <c r="Q19" i="1"/>
  <c r="R19" i="1"/>
  <c r="S19" i="1"/>
  <c r="T19" i="1"/>
  <c r="D20" i="1"/>
  <c r="E20" i="1"/>
  <c r="F20" i="1"/>
  <c r="I20" i="1"/>
  <c r="J20" i="1"/>
  <c r="K20" i="1"/>
  <c r="M20" i="1"/>
  <c r="N20" i="1"/>
  <c r="O20" i="1"/>
  <c r="P20" i="1"/>
  <c r="Q20" i="1"/>
  <c r="R20" i="1"/>
  <c r="S20" i="1"/>
  <c r="T20" i="1"/>
  <c r="D21" i="1"/>
  <c r="E21" i="1"/>
  <c r="F21" i="1"/>
  <c r="I21" i="1"/>
  <c r="J21" i="1"/>
  <c r="K21" i="1"/>
  <c r="M21" i="1"/>
  <c r="N21" i="1"/>
  <c r="O21" i="1"/>
  <c r="P21" i="1"/>
  <c r="Q21" i="1"/>
  <c r="R21" i="1"/>
  <c r="S21" i="1"/>
  <c r="T21" i="1"/>
  <c r="D22" i="1"/>
  <c r="E22" i="1"/>
  <c r="F22" i="1"/>
  <c r="I22" i="1"/>
  <c r="J22" i="1"/>
  <c r="K22" i="1"/>
  <c r="L22" i="1" s="1"/>
  <c r="M22" i="1"/>
  <c r="N22" i="1"/>
  <c r="O22" i="1"/>
  <c r="P22" i="1"/>
  <c r="Q22" i="1"/>
  <c r="R22" i="1"/>
  <c r="S22" i="1"/>
  <c r="T22" i="1"/>
  <c r="D23" i="1"/>
  <c r="E23" i="1"/>
  <c r="F23" i="1"/>
  <c r="I23" i="1"/>
  <c r="J23" i="1"/>
  <c r="K23" i="1"/>
  <c r="M23" i="1"/>
  <c r="N23" i="1"/>
  <c r="O23" i="1"/>
  <c r="P23" i="1"/>
  <c r="Q23" i="1"/>
  <c r="R23" i="1"/>
  <c r="S23" i="1"/>
  <c r="T23" i="1"/>
  <c r="D24" i="1"/>
  <c r="E24" i="1"/>
  <c r="F24" i="1"/>
  <c r="I24" i="1"/>
  <c r="J24" i="1"/>
  <c r="K24" i="1"/>
  <c r="L24" i="1" s="1"/>
  <c r="M24" i="1"/>
  <c r="N24" i="1"/>
  <c r="O24" i="1"/>
  <c r="P24" i="1"/>
  <c r="Q24" i="1"/>
  <c r="R24" i="1"/>
  <c r="S24" i="1"/>
  <c r="T24" i="1"/>
  <c r="D25" i="1"/>
  <c r="E25" i="1"/>
  <c r="F25" i="1"/>
  <c r="I25" i="1"/>
  <c r="J25" i="1"/>
  <c r="K25" i="1"/>
  <c r="M25" i="1"/>
  <c r="N25" i="1"/>
  <c r="O25" i="1"/>
  <c r="P25" i="1"/>
  <c r="Q25" i="1"/>
  <c r="R25" i="1"/>
  <c r="S25" i="1"/>
  <c r="T25" i="1"/>
  <c r="D26" i="1"/>
  <c r="E26" i="1"/>
  <c r="F26" i="1"/>
  <c r="I26" i="1"/>
  <c r="J26" i="1"/>
  <c r="K26" i="1"/>
  <c r="L26" i="1" s="1"/>
  <c r="M26" i="1"/>
  <c r="N26" i="1"/>
  <c r="O26" i="1"/>
  <c r="P26" i="1"/>
  <c r="Q26" i="1"/>
  <c r="R26" i="1"/>
  <c r="S26" i="1"/>
  <c r="T26" i="1"/>
  <c r="D27" i="1"/>
  <c r="E27" i="1"/>
  <c r="F27" i="1"/>
  <c r="I27" i="1"/>
  <c r="J27" i="1"/>
  <c r="K27" i="1"/>
  <c r="M27" i="1"/>
  <c r="N27" i="1"/>
  <c r="O27" i="1"/>
  <c r="P27" i="1"/>
  <c r="Q27" i="1"/>
  <c r="R27" i="1"/>
  <c r="S27" i="1"/>
  <c r="T27" i="1"/>
  <c r="L25" i="1" l="1"/>
  <c r="L23" i="1"/>
  <c r="L21" i="1"/>
  <c r="L19" i="1"/>
  <c r="G18" i="1"/>
  <c r="G17" i="1"/>
  <c r="G20" i="1"/>
  <c r="L18" i="1"/>
  <c r="L17" i="1"/>
  <c r="G26" i="1"/>
  <c r="G24" i="1"/>
  <c r="G22" i="1"/>
  <c r="L20" i="1"/>
  <c r="G27" i="1"/>
  <c r="G25" i="1"/>
  <c r="G23" i="1"/>
  <c r="G21" i="1"/>
  <c r="G19" i="1"/>
  <c r="L27" i="1"/>
</calcChain>
</file>

<file path=xl/sharedStrings.xml><?xml version="1.0" encoding="utf-8"?>
<sst xmlns="http://schemas.openxmlformats.org/spreadsheetml/2006/main" count="146" uniqueCount="71">
  <si>
    <t>Decleration (ft/s2)</t>
  </si>
  <si>
    <t>ITE</t>
  </si>
  <si>
    <t>(mph)</t>
  </si>
  <si>
    <t>NCDOT</t>
  </si>
  <si>
    <t>Ve</t>
  </si>
  <si>
    <t>4605 Woodmill Run</t>
  </si>
  <si>
    <t>Apex, NC 27539</t>
  </si>
  <si>
    <t>Talus Software PLLC</t>
  </si>
  <si>
    <t>North Carolina Engineering Firm License: P1693</t>
  </si>
  <si>
    <t>http://talussoftware.com</t>
  </si>
  <si>
    <t>Brian N. Ceccarelli, PE   NC-License 043760</t>
  </si>
  <si>
    <t>Approach</t>
  </si>
  <si>
    <t xml:space="preserve"> Speed</t>
  </si>
  <si>
    <t>Grade</t>
  </si>
  <si>
    <t>(%)</t>
  </si>
  <si>
    <t>Boundary</t>
  </si>
  <si>
    <t>Y</t>
  </si>
  <si>
    <t>(s)</t>
  </si>
  <si>
    <t>NCDOT (North Carolina Department of Transportation)  uses the Emergency Stopping Values from the American Association of State Highway Traffic Officials (AASHTO) Green Book</t>
  </si>
  <si>
    <t>Perception-Reaction Time (s)</t>
  </si>
  <si>
    <t>Braking</t>
  </si>
  <si>
    <t>Time</t>
  </si>
  <si>
    <t>Stopping</t>
  </si>
  <si>
    <t>Distance</t>
  </si>
  <si>
    <t>(ft)</t>
  </si>
  <si>
    <t>Critical</t>
  </si>
  <si>
    <t>(Stopping)</t>
  </si>
  <si>
    <t>Stopping Times and Distances</t>
  </si>
  <si>
    <t>Vo</t>
  </si>
  <si>
    <t>Intersection</t>
  </si>
  <si>
    <t>Entry Speed</t>
  </si>
  <si>
    <t>Turn</t>
  </si>
  <si>
    <t>Red Light</t>
  </si>
  <si>
    <t>Camera</t>
  </si>
  <si>
    <t>Grace Period</t>
  </si>
  <si>
    <t>Going Staight at Constant Approach Speed</t>
  </si>
  <si>
    <t>Comfortable and Safe</t>
  </si>
  <si>
    <t>Yellow Change Intervals using ITE Extended Kinematic Equation</t>
  </si>
  <si>
    <t xml:space="preserve">ITE (Institute of Transportation Engineers) Perception-Reaction Time and Deceleration for the 50th Percentile Passenger Vehicle on Dry Pavement Approaching the Simplest Intersection.  </t>
  </si>
  <si>
    <t>Minimum Yellow Change Intervals</t>
  </si>
  <si>
    <t>Mnimum Yellow Change Intervals</t>
  </si>
  <si>
    <t>Turning or Impeded Thru-Movements</t>
  </si>
  <si>
    <t>Facts</t>
  </si>
  <si>
    <t>1.  The yellow change interval, by definition, is the time it takes for a driver who intends to enter the intersection, to traverse the critical distance (columns P, T or X).</t>
  </si>
  <si>
    <t>3.  The critical distance is the same distance regardless of lane, and independent of the existence of a turning bay.     The length of the turning bay is irrelevant because cars can just scoot over into the turning bay.</t>
  </si>
  <si>
    <t>5.  Example 1 of an Impeded Vehicle:   Car A is approaching intersection and slows to turn right into a business or side-street.    Because car B is travelling behind car A, car B has to slow down in order to avoid hitting car A.   Cars A and B are inside critical distance.</t>
  </si>
  <si>
    <t>6.  Example 2 of an Impeded Vehicle:   Car A is approaching intersection and there is a railroad track.     Car A has to decelerate otherwise he breaks his front suspension.</t>
  </si>
  <si>
    <t xml:space="preserve">7.  Example 3 of an Impeded Vehicle:   Car A is approaching intersection and there is car B on the far side of the intersection pulling out of a gas station.    Car must slow down to avoid hitting car A.     Car A is inside the critical distance.    </t>
  </si>
  <si>
    <t>9.  Any impeded motions require the yellow to be the stopping time (columns N, R or V).     The driver must know that if he sees a yellow, that he can decelerate comfortably to a stop (Ve = 0) without running a red light.</t>
  </si>
  <si>
    <t>10.  Add to the perception-reaction time the time the signal head is not in line-of-sight to a driver within the critical distance.</t>
  </si>
  <si>
    <t>12.  Approach Speed is meaured at the critical distance.</t>
  </si>
  <si>
    <t>13.   Grade = rise/run * 100.0.  Grade is a percent.   Negative grades are downhill.  (Positive grades are uphill but the laws of physics forbid an uphill term.)    Grade is the average between the critical distance point  and the intersection entry point.</t>
  </si>
  <si>
    <r>
      <t>14.  Turning and Impeded Thru-Movements when Vo &gt; Ve.   ITE Extended Kinematic Equation by M</t>
    </r>
    <r>
      <rPr>
        <u/>
        <sz val="11"/>
        <color theme="10"/>
        <rFont val="Calibri"/>
        <family val="2"/>
      </rPr>
      <t>ä</t>
    </r>
    <r>
      <rPr>
        <u/>
        <sz val="11"/>
        <color theme="10"/>
        <rFont val="Calibri"/>
        <family val="2"/>
        <scheme val="minor"/>
      </rPr>
      <t>ts Jarlstr</t>
    </r>
    <r>
      <rPr>
        <u/>
        <sz val="11"/>
        <color theme="10"/>
        <rFont val="Calibri"/>
        <family val="2"/>
      </rPr>
      <t>ö</t>
    </r>
    <r>
      <rPr>
        <u/>
        <sz val="11"/>
        <color theme="10"/>
        <rFont val="Calibri"/>
        <family val="2"/>
        <scheme val="minor"/>
      </rPr>
      <t xml:space="preserve">m, but ITE's equation includes term for uphill grade.  Physical dynamics requires a 0 grade for uphill and a Ve &lt; Vo for deceleration into the intersection. </t>
    </r>
  </si>
  <si>
    <t>17.  The thru yellow change intevals (columns D, E, F) assume the vehicle maintains a constant speed through the critical distance.</t>
  </si>
  <si>
    <t>18.  The turning/impeded yellow change intervals (columns I, J, K) assume that the driver enters the intersection at speed Ve.   (Ve = 0 is a U-turn, which is the time to stop.)</t>
  </si>
  <si>
    <t>21.  For law enforcements puroses, in the case of impeded traffic, one cannot fault a driver for needing the stopping time to enter the intersection.    These drivers may enter the intersection up to R - E after the light turns red.</t>
  </si>
  <si>
    <t>23. These yellow change intervals are shorter than what is required for two closely-spaced intersections.     Crossing over the first intersection can leave you in a dilemma zone for the second intersection.   More math must be done to solve this problem.</t>
  </si>
  <si>
    <t>2.  The critical distance is the safe and comfortable stopping distance upstream from the intersection stop bar.   At the critical distance point and farther upstream from the intersection, the driver has the distance to perceive and react to the yellow light and decelerate to a stop without crossing over the stop bar.</t>
  </si>
  <si>
    <t>8.  Example 4 of an Impeded Vehicle:  Car A is approaching intersection and there is a pedestrian who just entered the intersection.   Car A, who is inside critical distance, must slow down to avoid hitting pedestrian.</t>
  </si>
  <si>
    <t>11.  Approach Speed &gt;= Speed Limit.   This must apply to thru and turning movements.</t>
  </si>
  <si>
    <t>16.  In spite of the physics, ITE caps the yellow change interval at 7 seconds.      Note that ITE's guideline cap is greater than the MUTCD's.    In both  cases, these are just guidelines, not standards.   "Welcome aboard the Black Pearl, Miss Turner."  Engineers invoke guidelines at their own discretion.</t>
  </si>
  <si>
    <t>(Unimpeded Thru-Movements) Read Facts 4-9.</t>
  </si>
  <si>
    <t>(Unimpeded Turning Movements) Read Facts 4-9.</t>
  </si>
  <si>
    <t>4.  Assumption.     The main assumption of all the yellow change intevals above is the driver approaches unimpeded by other traffic.     A vehicle that is unimpeded is one where there are NO obstacles, be it cars, other cars in the queue, pedestrians, bicyclists, speed limit decrease, railroad tracks or traffic density increase, causing the driver to slow down.</t>
  </si>
  <si>
    <t>Value</t>
  </si>
  <si>
    <t>Boundary Values:   Drivers exhibit a range of valid behavior.   2.5 s and 8.0 ft/s/s represent the maximum and minimum boundaries (respectively) set by commercial vehicle drivers and other reasonable and allowed traffic.   Read Facts 19 - 22.</t>
  </si>
  <si>
    <t>19.  One must apply boundary values else the yellow change intervals work only for a subset of the driving population thereby not safeguarding the entire public.</t>
  </si>
  <si>
    <r>
      <t>20.  For law enforcement purposes--a</t>
    </r>
    <r>
      <rPr>
        <i/>
        <sz val="11"/>
        <color theme="1"/>
        <rFont val="Calibri"/>
        <family val="2"/>
        <scheme val="minor"/>
      </rPr>
      <t xml:space="preserve"> compromise</t>
    </r>
    <r>
      <rPr>
        <sz val="11"/>
        <color theme="1"/>
        <rFont val="Calibri"/>
        <family val="2"/>
        <scheme val="minor"/>
      </rPr>
      <t xml:space="preserve"> when not using the boundary values--the NCDOT or ITE Y values require the traffic engineer to notify law enforcement to not ticket drivers when drivers run the red light by or column G or L. </t>
    </r>
  </si>
  <si>
    <t>15.  The tolerance or red-light camera grace-period (aka, delay) is the Boundary value Yellow Change Interval  - ITE Yellow Change Interval because commercial vehicles are the slowest vehicles allowed on the road.   Passenger sedans with older drivers have similar attributes as commercial vehicle drivers.</t>
  </si>
  <si>
    <t>22.  If there is crash involving a commercial vehicle which would have been avoided had the engineer used the appropriate boundary value, then the engineer becomes responsible for the crash.</t>
  </si>
  <si>
    <t>DRAFT  March 30,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</si>
</sst>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
    <numFmt numFmtId="165" formatCode="[$-409]mmmm\ d\,\ yyyy;@"/>
  </numFmts>
  <fonts count="10" x14ac:knownFonts="1">
    <font>
      <sz val="11"/>
      <color theme="1"/>
      <name val="Calibri"/>
      <family val="2"/>
      <scheme val="minor"/>
    </font>
    <font>
      <sz val="11"/>
      <color rgb="FF9C6500"/>
      <name val="Calibri"/>
      <family val="2"/>
      <scheme val="minor"/>
    </font>
    <font>
      <u/>
      <sz val="11"/>
      <color theme="10"/>
      <name val="Calibri"/>
      <family val="2"/>
      <scheme val="minor"/>
    </font>
    <font>
      <u/>
      <sz val="11"/>
      <color theme="10"/>
      <name val="Calibri"/>
      <family val="2"/>
    </font>
    <font>
      <b/>
      <sz val="11"/>
      <color theme="1"/>
      <name val="Calibri"/>
      <family val="2"/>
      <scheme val="minor"/>
    </font>
    <font>
      <b/>
      <sz val="18"/>
      <color theme="1"/>
      <name val="Calibri"/>
      <family val="2"/>
      <scheme val="minor"/>
    </font>
    <font>
      <b/>
      <sz val="10"/>
      <color rgb="FF000000"/>
      <name val="Arial"/>
      <family val="2"/>
    </font>
    <font>
      <sz val="10"/>
      <color rgb="FF000000"/>
      <name val="Arial"/>
      <family val="2"/>
    </font>
    <font>
      <sz val="11"/>
      <name val="Calibri"/>
      <family val="2"/>
      <scheme val="minor"/>
    </font>
    <font>
      <i/>
      <sz val="11"/>
      <color theme="1"/>
      <name val="Calibri"/>
      <family val="2"/>
      <scheme val="minor"/>
    </font>
  </fonts>
  <fills count="9">
    <fill>
      <patternFill patternType="none"/>
    </fill>
    <fill>
      <patternFill patternType="gray125"/>
    </fill>
    <fill>
      <patternFill patternType="solid">
        <fgColor rgb="FFFFEB9C"/>
      </patternFill>
    </fill>
    <fill>
      <patternFill patternType="solid">
        <fgColor theme="3" tint="0.79998168889431442"/>
        <bgColor indexed="64"/>
      </patternFill>
    </fill>
    <fill>
      <patternFill patternType="solid">
        <fgColor rgb="FFFFC000"/>
        <bgColor auto="1"/>
      </patternFill>
    </fill>
    <fill>
      <patternFill patternType="solid">
        <fgColor rgb="FFFFC000"/>
        <bgColor indexed="64"/>
      </patternFill>
    </fill>
    <fill>
      <patternFill patternType="solid">
        <fgColor rgb="FFFFFF00"/>
        <bgColor indexed="64"/>
      </patternFill>
    </fill>
    <fill>
      <patternFill patternType="solid">
        <fgColor theme="9" tint="0.79998168889431442"/>
        <bgColor indexed="64"/>
      </patternFill>
    </fill>
    <fill>
      <patternFill patternType="solid">
        <fgColor rgb="FFFFB7B7"/>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theme="1"/>
      </bottom>
      <diagonal/>
    </border>
    <border>
      <left/>
      <right/>
      <top style="thin">
        <color theme="1"/>
      </top>
      <bottom/>
      <diagonal/>
    </border>
    <border>
      <left style="thin">
        <color auto="1"/>
      </left>
      <right/>
      <top style="thin">
        <color theme="1" tint="4.9989318521683403E-2"/>
      </top>
      <bottom style="thin">
        <color theme="1" tint="4.9989318521683403E-2"/>
      </bottom>
      <diagonal/>
    </border>
    <border>
      <left style="thin">
        <color theme="1"/>
      </left>
      <right style="thin">
        <color theme="1"/>
      </right>
      <top style="thin">
        <color theme="1"/>
      </top>
      <bottom style="thin">
        <color theme="1"/>
      </bottom>
      <diagonal/>
    </border>
    <border>
      <left style="thin">
        <color auto="1"/>
      </left>
      <right/>
      <top style="thin">
        <color theme="1" tint="4.9989318521683403E-2"/>
      </top>
      <bottom style="thin">
        <color auto="1"/>
      </bottom>
      <diagonal/>
    </border>
    <border>
      <left style="thin">
        <color auto="1"/>
      </left>
      <right/>
      <top/>
      <bottom style="thin">
        <color theme="1" tint="4.9989318521683403E-2"/>
      </bottom>
      <diagonal/>
    </border>
    <border>
      <left style="thin">
        <color theme="1"/>
      </left>
      <right/>
      <top style="thin">
        <color auto="1"/>
      </top>
      <bottom style="thin">
        <color theme="1"/>
      </bottom>
      <diagonal/>
    </border>
    <border>
      <left style="thin">
        <color theme="1"/>
      </left>
      <right/>
      <top style="thin">
        <color theme="1"/>
      </top>
      <bottom style="thin">
        <color theme="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diagonal/>
    </border>
    <border>
      <left/>
      <right/>
      <top/>
      <bottom style="thin">
        <color auto="1"/>
      </bottom>
      <diagonal/>
    </border>
    <border>
      <left style="thin">
        <color theme="1"/>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style="thin">
        <color theme="1"/>
      </right>
      <top/>
      <bottom style="thin">
        <color theme="1"/>
      </bottom>
      <diagonal/>
    </border>
    <border>
      <left/>
      <right style="thin">
        <color theme="2"/>
      </right>
      <top/>
      <bottom/>
      <diagonal/>
    </border>
    <border>
      <left style="thin">
        <color theme="2"/>
      </left>
      <right style="thin">
        <color theme="2"/>
      </right>
      <top/>
      <bottom/>
      <diagonal/>
    </border>
    <border>
      <left style="thin">
        <color theme="2"/>
      </left>
      <right/>
      <top/>
      <bottom/>
      <diagonal/>
    </border>
  </borders>
  <cellStyleXfs count="3">
    <xf numFmtId="0" fontId="0" fillId="0" borderId="0"/>
    <xf numFmtId="0" fontId="1" fillId="2" borderId="0" applyNumberFormat="0" applyBorder="0" applyAlignment="0" applyProtection="0"/>
    <xf numFmtId="0" fontId="2" fillId="0" borderId="0" applyNumberFormat="0" applyFill="0" applyBorder="0" applyAlignment="0" applyProtection="0"/>
  </cellStyleXfs>
  <cellXfs count="103">
    <xf numFmtId="0" fontId="0" fillId="0" borderId="0" xfId="0"/>
    <xf numFmtId="164" fontId="0" fillId="0" borderId="0" xfId="0" applyNumberFormat="1"/>
    <xf numFmtId="0" fontId="1" fillId="2" borderId="0" xfId="1"/>
    <xf numFmtId="164" fontId="1" fillId="2" borderId="0" xfId="1" applyNumberFormat="1"/>
    <xf numFmtId="0" fontId="0" fillId="0" borderId="0" xfId="0" applyAlignment="1">
      <alignment horizontal="right"/>
    </xf>
    <xf numFmtId="0" fontId="0" fillId="0" borderId="0" xfId="0" applyAlignment="1">
      <alignment horizontal="center"/>
    </xf>
    <xf numFmtId="164" fontId="1" fillId="0" borderId="0" xfId="1" applyNumberFormat="1" applyFill="1"/>
    <xf numFmtId="0" fontId="0" fillId="0" borderId="0" xfId="0" applyFill="1"/>
    <xf numFmtId="0" fontId="4" fillId="0" borderId="0" xfId="0" applyFont="1"/>
    <xf numFmtId="0" fontId="4" fillId="0" borderId="0" xfId="0" applyFont="1" applyAlignment="1">
      <alignment horizontal="center"/>
    </xf>
    <xf numFmtId="0" fontId="0" fillId="0" borderId="0" xfId="0" applyFont="1" applyAlignment="1">
      <alignment horizontal="center"/>
    </xf>
    <xf numFmtId="0" fontId="0" fillId="0" borderId="0" xfId="0" applyBorder="1"/>
    <xf numFmtId="0" fontId="0" fillId="0" borderId="0" xfId="0" applyFill="1" applyBorder="1" applyAlignment="1">
      <alignment horizontal="center"/>
    </xf>
    <xf numFmtId="0" fontId="0" fillId="3" borderId="5" xfId="0" applyFill="1" applyBorder="1" applyAlignment="1">
      <alignment horizontal="center"/>
    </xf>
    <xf numFmtId="0" fontId="0" fillId="3" borderId="5" xfId="0" applyFill="1" applyBorder="1"/>
    <xf numFmtId="164" fontId="1" fillId="3" borderId="5" xfId="1" applyNumberFormat="1" applyFill="1" applyBorder="1"/>
    <xf numFmtId="164" fontId="0" fillId="3" borderId="5" xfId="0" applyNumberFormat="1" applyFill="1" applyBorder="1"/>
    <xf numFmtId="164" fontId="1" fillId="3" borderId="7" xfId="1" applyNumberFormat="1" applyFill="1" applyBorder="1"/>
    <xf numFmtId="0" fontId="0" fillId="4" borderId="6" xfId="0" applyFill="1" applyBorder="1" applyAlignment="1">
      <alignment horizontal="center"/>
    </xf>
    <xf numFmtId="0" fontId="4" fillId="3" borderId="8" xfId="0" applyFont="1" applyFill="1" applyBorder="1" applyAlignment="1">
      <alignment horizontal="center"/>
    </xf>
    <xf numFmtId="0" fontId="4" fillId="4" borderId="6" xfId="0" applyFont="1" applyFill="1" applyBorder="1" applyAlignment="1">
      <alignment horizontal="center"/>
    </xf>
    <xf numFmtId="0" fontId="0" fillId="4" borderId="6" xfId="0" applyFill="1" applyBorder="1"/>
    <xf numFmtId="164" fontId="1" fillId="4" borderId="6" xfId="1" applyNumberFormat="1" applyFill="1" applyBorder="1"/>
    <xf numFmtId="164" fontId="0" fillId="4" borderId="6" xfId="0" applyNumberFormat="1" applyFill="1" applyBorder="1"/>
    <xf numFmtId="0" fontId="0" fillId="3" borderId="6" xfId="0" applyFill="1" applyBorder="1" applyAlignment="1">
      <alignment horizontal="center"/>
    </xf>
    <xf numFmtId="0" fontId="0" fillId="3" borderId="9" xfId="0" applyFill="1" applyBorder="1" applyAlignment="1">
      <alignment horizontal="right"/>
    </xf>
    <xf numFmtId="0" fontId="0" fillId="5" borderId="1" xfId="0" applyFill="1" applyBorder="1" applyAlignment="1">
      <alignment horizontal="center"/>
    </xf>
    <xf numFmtId="164" fontId="0" fillId="5" borderId="1" xfId="0" applyNumberFormat="1" applyFill="1" applyBorder="1"/>
    <xf numFmtId="0" fontId="0" fillId="3" borderId="0" xfId="0" applyFill="1"/>
    <xf numFmtId="0" fontId="0" fillId="3" borderId="1" xfId="0" applyFill="1" applyBorder="1"/>
    <xf numFmtId="0" fontId="0" fillId="3" borderId="1" xfId="0" applyFill="1" applyBorder="1" applyAlignment="1">
      <alignment horizontal="center"/>
    </xf>
    <xf numFmtId="164" fontId="1" fillId="3" borderId="1" xfId="1" applyNumberFormat="1" applyFill="1" applyBorder="1"/>
    <xf numFmtId="164" fontId="0" fillId="3" borderId="1" xfId="0" applyNumberFormat="1" applyFill="1" applyBorder="1"/>
    <xf numFmtId="0" fontId="4" fillId="6" borderId="0" xfId="0" applyFont="1" applyFill="1" applyBorder="1"/>
    <xf numFmtId="0" fontId="0" fillId="5" borderId="1" xfId="0" applyFill="1" applyBorder="1"/>
    <xf numFmtId="164" fontId="1" fillId="5" borderId="1" xfId="1" applyNumberFormat="1" applyFill="1" applyBorder="1"/>
    <xf numFmtId="0" fontId="0" fillId="5" borderId="2" xfId="0" applyFill="1" applyBorder="1" applyAlignment="1">
      <alignment horizontal="center"/>
    </xf>
    <xf numFmtId="0" fontId="0" fillId="5" borderId="0" xfId="0" applyFill="1"/>
    <xf numFmtId="0" fontId="0" fillId="6" borderId="0" xfId="0" applyFill="1" applyBorder="1"/>
    <xf numFmtId="0" fontId="0" fillId="0" borderId="0" xfId="0" applyFont="1" applyFill="1" applyBorder="1" applyAlignment="1">
      <alignment horizontal="center"/>
    </xf>
    <xf numFmtId="0" fontId="0" fillId="0" borderId="0" xfId="0" applyFill="1" applyBorder="1"/>
    <xf numFmtId="0" fontId="1" fillId="0" borderId="0" xfId="1" applyFill="1"/>
    <xf numFmtId="0" fontId="4" fillId="0" borderId="0" xfId="0" applyFont="1" applyFill="1" applyBorder="1" applyAlignment="1">
      <alignment horizontal="center"/>
    </xf>
    <xf numFmtId="164" fontId="0" fillId="0" borderId="0" xfId="0" applyNumberFormat="1" applyFill="1"/>
    <xf numFmtId="0" fontId="0" fillId="3" borderId="17" xfId="0" applyFill="1" applyBorder="1" applyAlignment="1">
      <alignment horizontal="center"/>
    </xf>
    <xf numFmtId="0" fontId="4" fillId="3" borderId="17" xfId="0" applyFont="1" applyFill="1" applyBorder="1" applyAlignment="1">
      <alignment horizontal="center"/>
    </xf>
    <xf numFmtId="0" fontId="0" fillId="3" borderId="17" xfId="0" applyFill="1" applyBorder="1"/>
    <xf numFmtId="164" fontId="1" fillId="3" borderId="17" xfId="1" applyNumberFormat="1" applyFill="1" applyBorder="1"/>
    <xf numFmtId="164" fontId="0" fillId="3" borderId="17" xfId="0" applyNumberFormat="1" applyFill="1" applyBorder="1"/>
    <xf numFmtId="0" fontId="0" fillId="7" borderId="6" xfId="0" applyFill="1" applyBorder="1" applyAlignment="1">
      <alignment horizontal="center"/>
    </xf>
    <xf numFmtId="0" fontId="0" fillId="7" borderId="6" xfId="0" applyFill="1" applyBorder="1"/>
    <xf numFmtId="164" fontId="1" fillId="7" borderId="6" xfId="1" applyNumberFormat="1" applyFill="1" applyBorder="1"/>
    <xf numFmtId="164" fontId="0" fillId="7" borderId="6" xfId="0" applyNumberFormat="1" applyFill="1" applyBorder="1"/>
    <xf numFmtId="0" fontId="0" fillId="7" borderId="1" xfId="0" applyFill="1" applyBorder="1" applyAlignment="1">
      <alignment horizontal="center"/>
    </xf>
    <xf numFmtId="164" fontId="1" fillId="7" borderId="1" xfId="1" applyNumberFormat="1" applyFill="1" applyBorder="1"/>
    <xf numFmtId="164" fontId="0" fillId="7" borderId="1" xfId="0" applyNumberFormat="1" applyFill="1" applyBorder="1"/>
    <xf numFmtId="0" fontId="4" fillId="6" borderId="0" xfId="0" applyFont="1" applyFill="1" applyBorder="1" applyAlignment="1">
      <alignment horizontal="left"/>
    </xf>
    <xf numFmtId="0" fontId="0" fillId="6" borderId="0" xfId="0" applyFill="1" applyBorder="1" applyAlignment="1">
      <alignment horizontal="left"/>
    </xf>
    <xf numFmtId="0" fontId="4" fillId="6" borderId="11" xfId="0" applyFont="1" applyFill="1" applyBorder="1" applyAlignment="1">
      <alignment horizontal="left"/>
    </xf>
    <xf numFmtId="0" fontId="4" fillId="6" borderId="18" xfId="0" applyFont="1" applyFill="1" applyBorder="1" applyAlignment="1">
      <alignment horizontal="left"/>
    </xf>
    <xf numFmtId="0" fontId="4" fillId="6" borderId="12" xfId="0" applyFont="1" applyFill="1" applyBorder="1" applyAlignment="1">
      <alignment horizontal="left"/>
    </xf>
    <xf numFmtId="0" fontId="4" fillId="6" borderId="13" xfId="0" applyFont="1" applyFill="1" applyBorder="1" applyAlignment="1">
      <alignment horizontal="left"/>
    </xf>
    <xf numFmtId="0" fontId="4" fillId="6" borderId="14" xfId="0" applyFont="1" applyFill="1" applyBorder="1" applyAlignment="1">
      <alignment horizontal="left"/>
    </xf>
    <xf numFmtId="0" fontId="0" fillId="6" borderId="15" xfId="0" applyFill="1" applyBorder="1" applyAlignment="1">
      <alignment horizontal="left"/>
    </xf>
    <xf numFmtId="0" fontId="0" fillId="6" borderId="19" xfId="0" applyFill="1" applyBorder="1" applyAlignment="1">
      <alignment horizontal="left"/>
    </xf>
    <xf numFmtId="0" fontId="0" fillId="6" borderId="16" xfId="0" applyFill="1" applyBorder="1" applyAlignment="1">
      <alignment horizontal="left"/>
    </xf>
    <xf numFmtId="0" fontId="0" fillId="7" borderId="2" xfId="0" applyFill="1" applyBorder="1" applyAlignment="1">
      <alignment horizontal="center"/>
    </xf>
    <xf numFmtId="0" fontId="4" fillId="6" borderId="20" xfId="0" applyFont="1" applyFill="1" applyBorder="1"/>
    <xf numFmtId="0" fontId="4" fillId="6" borderId="4" xfId="0" applyFont="1" applyFill="1" applyBorder="1"/>
    <xf numFmtId="0" fontId="4" fillId="6" borderId="21" xfId="0" applyFont="1" applyFill="1" applyBorder="1"/>
    <xf numFmtId="0" fontId="4" fillId="6" borderId="22" xfId="0" applyFont="1" applyFill="1" applyBorder="1"/>
    <xf numFmtId="0" fontId="4" fillId="6" borderId="23" xfId="0" applyFont="1" applyFill="1" applyBorder="1"/>
    <xf numFmtId="0" fontId="0" fillId="6" borderId="22" xfId="0" applyFill="1" applyBorder="1"/>
    <xf numFmtId="0" fontId="0" fillId="6" borderId="23" xfId="0" applyFill="1" applyBorder="1"/>
    <xf numFmtId="0" fontId="0" fillId="6" borderId="24" xfId="0" applyFill="1" applyBorder="1"/>
    <xf numFmtId="0" fontId="0" fillId="6" borderId="3" xfId="0" applyFill="1" applyBorder="1"/>
    <xf numFmtId="0" fontId="0" fillId="6" borderId="25" xfId="0" applyFill="1" applyBorder="1"/>
    <xf numFmtId="0" fontId="0" fillId="6" borderId="13" xfId="0" applyFill="1" applyBorder="1" applyAlignment="1">
      <alignment horizontal="left"/>
    </xf>
    <xf numFmtId="0" fontId="0" fillId="6" borderId="14" xfId="0" applyFill="1" applyBorder="1" applyAlignment="1">
      <alignment horizontal="left"/>
    </xf>
    <xf numFmtId="0" fontId="4" fillId="5" borderId="1" xfId="0" applyFont="1" applyFill="1" applyBorder="1" applyAlignment="1">
      <alignment horizontal="center"/>
    </xf>
    <xf numFmtId="0" fontId="4" fillId="7" borderId="6" xfId="0" applyFont="1" applyFill="1" applyBorder="1" applyAlignment="1">
      <alignment horizontal="center"/>
    </xf>
    <xf numFmtId="0" fontId="4" fillId="7" borderId="1" xfId="0" applyFont="1" applyFill="1" applyBorder="1" applyAlignment="1">
      <alignment horizontal="center"/>
    </xf>
    <xf numFmtId="0" fontId="0" fillId="8" borderId="0" xfId="0" applyFill="1" applyBorder="1"/>
    <xf numFmtId="0" fontId="4" fillId="8" borderId="0" xfId="0" applyFont="1" applyFill="1" applyBorder="1"/>
    <xf numFmtId="0" fontId="0" fillId="0" borderId="26" xfId="0" applyFill="1" applyBorder="1"/>
    <xf numFmtId="0" fontId="0" fillId="0" borderId="27" xfId="0" applyFill="1" applyBorder="1"/>
    <xf numFmtId="0" fontId="0" fillId="0" borderId="27" xfId="0" applyFill="1" applyBorder="1" applyAlignment="1">
      <alignment horizontal="center"/>
    </xf>
    <xf numFmtId="0" fontId="0" fillId="0" borderId="28" xfId="0" applyFill="1" applyBorder="1" applyAlignment="1">
      <alignment horizontal="center"/>
    </xf>
    <xf numFmtId="0" fontId="0" fillId="8" borderId="0" xfId="0" applyFont="1" applyFill="1" applyBorder="1"/>
    <xf numFmtId="0" fontId="0" fillId="0" borderId="0" xfId="0" applyProtection="1">
      <protection locked="0"/>
    </xf>
    <xf numFmtId="164" fontId="0" fillId="3" borderId="10" xfId="0" applyNumberFormat="1" applyFill="1" applyBorder="1" applyProtection="1">
      <protection locked="0"/>
    </xf>
    <xf numFmtId="164" fontId="0" fillId="5" borderId="1" xfId="0" applyNumberFormat="1" applyFill="1" applyBorder="1" applyProtection="1">
      <protection locked="0"/>
    </xf>
    <xf numFmtId="0" fontId="1" fillId="2" borderId="0" xfId="1" applyProtection="1">
      <protection locked="0"/>
    </xf>
    <xf numFmtId="0" fontId="1" fillId="0" borderId="0" xfId="1" applyFill="1" applyProtection="1">
      <protection locked="0"/>
    </xf>
    <xf numFmtId="0" fontId="0" fillId="0" borderId="0" xfId="0" applyFill="1" applyProtection="1">
      <protection locked="0"/>
    </xf>
    <xf numFmtId="0" fontId="5" fillId="0" borderId="0" xfId="0" applyFont="1"/>
    <xf numFmtId="165" fontId="0" fillId="0" borderId="0" xfId="0" applyNumberFormat="1" applyAlignment="1">
      <alignment horizontal="left"/>
    </xf>
    <xf numFmtId="0" fontId="0" fillId="0" borderId="0" xfId="0" applyAlignment="1">
      <alignment horizontal="left"/>
    </xf>
    <xf numFmtId="0" fontId="6" fillId="0" borderId="0" xfId="0" applyFont="1"/>
    <xf numFmtId="0" fontId="7" fillId="0" borderId="0" xfId="0" applyFont="1"/>
    <xf numFmtId="0" fontId="8" fillId="0" borderId="0" xfId="2" applyFont="1" applyAlignment="1">
      <alignment horizontal="left"/>
    </xf>
    <xf numFmtId="0" fontId="2" fillId="0" borderId="0" xfId="2" applyAlignment="1" applyProtection="1">
      <alignment horizontal="left"/>
      <protection locked="0"/>
    </xf>
    <xf numFmtId="0" fontId="2" fillId="0" borderId="0" xfId="2" applyProtection="1">
      <protection locked="0"/>
    </xf>
  </cellXfs>
  <cellStyles count="3">
    <cellStyle name="Hyperlink" xfId="2" builtinId="8"/>
    <cellStyle name="Neutral" xfId="1" builtinId="28"/>
    <cellStyle name="Normal" xfId="0" builtinId="0"/>
  </cellStyles>
  <dxfs count="0"/>
  <tableStyles count="1" defaultTableStyle="TableStyleMedium9" defaultPivotStyle="PivotStyleLight16">
    <tableStyle name="Table Style 1" pivot="0" count="0" xr9:uid="{00000000-0011-0000-FFFF-FFFF00000000}"/>
  </tableStyles>
  <colors>
    <mruColors>
      <color rgb="FFFFB7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alussoftware.com/" TargetMode="External"/><Relationship Id="rId2" Type="http://schemas.openxmlformats.org/officeDocument/2006/relationships/hyperlink" Target="http://redlightrobber.com/red/links_pdf/Dilemma-Zone-Driver-Behavior-as-a-Function-of-Vehicle-Type-Time-of-Day-and-Platooning.pdf" TargetMode="External"/><Relationship Id="rId1" Type="http://schemas.openxmlformats.org/officeDocument/2006/relationships/hyperlink" Target="http://redlightrobber.com/red/links_pdf/Jarlstrom-Equation-ITE-Journal.pdf" TargetMode="External"/><Relationship Id="rId6" Type="http://schemas.openxmlformats.org/officeDocument/2006/relationships/printerSettings" Target="../printerSettings/printerSettings1.bin"/><Relationship Id="rId5" Type="http://schemas.openxmlformats.org/officeDocument/2006/relationships/hyperlink" Target="https://youtu.be/83h_cvLlC1w" TargetMode="External"/><Relationship Id="rId4" Type="http://schemas.openxmlformats.org/officeDocument/2006/relationships/hyperlink" Target="https://youtu.be/mGRP0_PLpF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67"/>
  <sheetViews>
    <sheetView tabSelected="1" zoomScale="73" zoomScaleNormal="73" workbookViewId="0">
      <selection activeCell="B4" sqref="B4"/>
    </sheetView>
  </sheetViews>
  <sheetFormatPr defaultRowHeight="15" x14ac:dyDescent="0.25"/>
  <cols>
    <col min="1" max="1" width="27.85546875" customWidth="1"/>
    <col min="2" max="2" width="10.28515625" customWidth="1"/>
    <col min="3" max="3" width="8.28515625" customWidth="1"/>
    <col min="4" max="4" width="13.5703125" customWidth="1"/>
    <col min="5" max="5" width="14.5703125" customWidth="1"/>
    <col min="6" max="12" width="14.140625" customWidth="1"/>
    <col min="13" max="13" width="11.28515625" customWidth="1"/>
    <col min="14" max="14" width="10.28515625" customWidth="1"/>
    <col min="15" max="15" width="12.28515625" customWidth="1"/>
    <col min="16" max="16" width="12.42578125" customWidth="1"/>
    <col min="17" max="17" width="11.85546875" customWidth="1"/>
    <col min="18" max="18" width="13" customWidth="1"/>
    <col min="19" max="19" width="14.5703125" customWidth="1"/>
    <col min="20" max="24" width="13" customWidth="1"/>
  </cols>
  <sheetData>
    <row r="1" spans="1:24" ht="23.25" x14ac:dyDescent="0.35">
      <c r="F1" s="95" t="s">
        <v>37</v>
      </c>
      <c r="M1" s="8"/>
    </row>
    <row r="2" spans="1:24" x14ac:dyDescent="0.25">
      <c r="D2" s="26" t="s">
        <v>15</v>
      </c>
    </row>
    <row r="3" spans="1:24" x14ac:dyDescent="0.25">
      <c r="A3" t="s">
        <v>36</v>
      </c>
      <c r="B3" s="4" t="s">
        <v>3</v>
      </c>
      <c r="C3" s="25" t="s">
        <v>1</v>
      </c>
      <c r="D3" s="26" t="s">
        <v>64</v>
      </c>
      <c r="F3" t="s">
        <v>18</v>
      </c>
    </row>
    <row r="4" spans="1:24" x14ac:dyDescent="0.25">
      <c r="A4" t="s">
        <v>19</v>
      </c>
      <c r="B4" s="89">
        <v>1.5</v>
      </c>
      <c r="C4" s="90">
        <v>1</v>
      </c>
      <c r="D4" s="91">
        <v>2.5</v>
      </c>
      <c r="F4" s="28" t="s">
        <v>38</v>
      </c>
      <c r="G4" s="28"/>
      <c r="H4" s="28"/>
      <c r="I4" s="28"/>
      <c r="J4" s="28"/>
      <c r="K4" s="28"/>
      <c r="L4" s="28"/>
      <c r="M4" s="28"/>
      <c r="N4" s="28"/>
      <c r="O4" s="28"/>
      <c r="P4" s="28"/>
      <c r="Q4" s="28"/>
      <c r="R4" s="28"/>
      <c r="S4" s="28"/>
      <c r="T4" s="28"/>
      <c r="U4" s="28"/>
      <c r="V4" s="28"/>
      <c r="W4" s="28"/>
      <c r="X4" s="28"/>
    </row>
    <row r="5" spans="1:24" x14ac:dyDescent="0.25">
      <c r="A5" t="s">
        <v>0</v>
      </c>
      <c r="B5" s="89">
        <v>11.2</v>
      </c>
      <c r="C5" s="90">
        <v>10</v>
      </c>
      <c r="D5" s="91">
        <v>8</v>
      </c>
      <c r="F5" s="37" t="s">
        <v>65</v>
      </c>
      <c r="G5" s="37"/>
      <c r="H5" s="37"/>
      <c r="I5" s="37"/>
      <c r="J5" s="37"/>
      <c r="K5" s="37"/>
      <c r="L5" s="37"/>
      <c r="M5" s="37"/>
      <c r="N5" s="37"/>
      <c r="O5" s="37"/>
      <c r="P5" s="37"/>
      <c r="Q5" s="37"/>
      <c r="R5" s="37"/>
      <c r="S5" s="37"/>
      <c r="T5" s="37"/>
      <c r="U5" s="37"/>
      <c r="V5" s="37"/>
      <c r="W5" s="37"/>
      <c r="X5" s="37"/>
    </row>
    <row r="6" spans="1:24" x14ac:dyDescent="0.25">
      <c r="C6" s="1"/>
      <c r="D6" s="1"/>
    </row>
    <row r="7" spans="1:24" x14ac:dyDescent="0.25">
      <c r="C7" s="1"/>
      <c r="D7" s="58" t="s">
        <v>39</v>
      </c>
      <c r="E7" s="59"/>
      <c r="F7" s="60"/>
      <c r="H7" s="67"/>
      <c r="I7" s="68" t="s">
        <v>40</v>
      </c>
      <c r="J7" s="68"/>
      <c r="K7" s="68"/>
      <c r="L7" s="69"/>
      <c r="M7" s="82"/>
      <c r="N7" s="82"/>
      <c r="O7" s="82"/>
      <c r="P7" s="82"/>
      <c r="Q7" s="83" t="s">
        <v>27</v>
      </c>
      <c r="R7" s="82"/>
      <c r="S7" s="82"/>
      <c r="T7" s="82"/>
      <c r="U7" s="82"/>
      <c r="V7" s="82"/>
      <c r="W7" s="82"/>
      <c r="X7" s="82"/>
    </row>
    <row r="8" spans="1:24" x14ac:dyDescent="0.25">
      <c r="C8" s="1"/>
      <c r="D8" s="61" t="s">
        <v>35</v>
      </c>
      <c r="E8" s="56"/>
      <c r="F8" s="62"/>
      <c r="H8" s="70"/>
      <c r="I8" s="33" t="s">
        <v>41</v>
      </c>
      <c r="J8" s="33"/>
      <c r="K8" s="33"/>
      <c r="L8" s="71"/>
      <c r="M8" s="82"/>
      <c r="N8" s="82"/>
      <c r="O8" s="82"/>
      <c r="P8" s="88"/>
      <c r="Q8" s="82"/>
      <c r="R8" s="82"/>
      <c r="S8" s="82"/>
      <c r="T8" s="82"/>
      <c r="U8" s="82"/>
      <c r="V8" s="82"/>
      <c r="W8" s="82"/>
      <c r="X8" s="82"/>
    </row>
    <row r="9" spans="1:24" x14ac:dyDescent="0.25">
      <c r="C9" s="1"/>
      <c r="D9" s="77" t="s">
        <v>61</v>
      </c>
      <c r="E9" s="57"/>
      <c r="F9" s="78"/>
      <c r="H9" s="72"/>
      <c r="I9" s="38" t="s">
        <v>62</v>
      </c>
      <c r="J9" s="38"/>
      <c r="K9" s="38"/>
      <c r="L9" s="73"/>
      <c r="M9" s="11"/>
      <c r="N9" s="11"/>
      <c r="O9" s="11"/>
      <c r="P9" s="11"/>
      <c r="Q9" s="84"/>
      <c r="R9" s="85"/>
      <c r="S9" s="85"/>
      <c r="T9" s="85"/>
      <c r="U9" s="85"/>
      <c r="V9" s="86"/>
      <c r="W9" s="86"/>
      <c r="X9" s="87"/>
    </row>
    <row r="10" spans="1:24" x14ac:dyDescent="0.25">
      <c r="C10" s="1"/>
      <c r="D10" s="63"/>
      <c r="E10" s="64"/>
      <c r="F10" s="65"/>
      <c r="H10" s="74"/>
      <c r="I10" s="75"/>
      <c r="J10" s="75"/>
      <c r="K10" s="75"/>
      <c r="L10" s="76"/>
      <c r="Q10" s="29"/>
      <c r="R10" s="29"/>
      <c r="S10" s="29"/>
      <c r="T10" s="29"/>
      <c r="U10" s="34"/>
      <c r="V10" s="26"/>
      <c r="W10" s="26"/>
      <c r="X10" s="26" t="s">
        <v>15</v>
      </c>
    </row>
    <row r="11" spans="1:24" x14ac:dyDescent="0.25">
      <c r="C11" s="1"/>
      <c r="D11" s="1"/>
      <c r="H11" s="40"/>
      <c r="I11" s="40"/>
      <c r="J11" s="40"/>
      <c r="K11" s="36" t="s">
        <v>15</v>
      </c>
      <c r="L11" s="66" t="s">
        <v>32</v>
      </c>
      <c r="P11" s="5" t="s">
        <v>3</v>
      </c>
      <c r="Q11" s="29"/>
      <c r="R11" s="29"/>
      <c r="S11" s="29"/>
      <c r="T11" s="30" t="s">
        <v>1</v>
      </c>
      <c r="U11" s="26" t="s">
        <v>15</v>
      </c>
      <c r="V11" s="26" t="s">
        <v>15</v>
      </c>
      <c r="W11" s="26" t="s">
        <v>15</v>
      </c>
      <c r="X11" s="26" t="s">
        <v>64</v>
      </c>
    </row>
    <row r="12" spans="1:24" x14ac:dyDescent="0.25">
      <c r="B12" s="5" t="s">
        <v>28</v>
      </c>
      <c r="F12" s="18" t="s">
        <v>15</v>
      </c>
      <c r="G12" s="49" t="s">
        <v>32</v>
      </c>
      <c r="H12" s="12" t="s">
        <v>4</v>
      </c>
      <c r="I12" s="12" t="s">
        <v>3</v>
      </c>
      <c r="J12" s="44" t="s">
        <v>1</v>
      </c>
      <c r="K12" s="26" t="s">
        <v>64</v>
      </c>
      <c r="L12" s="53" t="s">
        <v>33</v>
      </c>
      <c r="M12" s="5" t="s">
        <v>3</v>
      </c>
      <c r="N12" s="5" t="s">
        <v>3</v>
      </c>
      <c r="O12" s="5" t="s">
        <v>3</v>
      </c>
      <c r="P12" s="12" t="s">
        <v>25</v>
      </c>
      <c r="Q12" s="30" t="s">
        <v>1</v>
      </c>
      <c r="R12" s="30" t="s">
        <v>1</v>
      </c>
      <c r="S12" s="30" t="s">
        <v>1</v>
      </c>
      <c r="T12" s="30" t="s">
        <v>25</v>
      </c>
      <c r="U12" s="26" t="s">
        <v>64</v>
      </c>
      <c r="V12" s="26" t="s">
        <v>64</v>
      </c>
      <c r="W12" s="26" t="s">
        <v>64</v>
      </c>
      <c r="X12" s="26" t="s">
        <v>25</v>
      </c>
    </row>
    <row r="13" spans="1:24" x14ac:dyDescent="0.25">
      <c r="B13" s="5" t="s">
        <v>11</v>
      </c>
      <c r="D13" s="5" t="s">
        <v>3</v>
      </c>
      <c r="E13" s="24" t="s">
        <v>1</v>
      </c>
      <c r="F13" s="18" t="s">
        <v>64</v>
      </c>
      <c r="G13" s="49" t="s">
        <v>33</v>
      </c>
      <c r="H13" s="12" t="s">
        <v>29</v>
      </c>
      <c r="I13" s="12" t="s">
        <v>31</v>
      </c>
      <c r="J13" s="44" t="s">
        <v>31</v>
      </c>
      <c r="K13" s="26" t="s">
        <v>31</v>
      </c>
      <c r="L13" s="53" t="s">
        <v>31</v>
      </c>
      <c r="M13" s="12" t="s">
        <v>20</v>
      </c>
      <c r="N13" s="5" t="s">
        <v>22</v>
      </c>
      <c r="O13" s="12" t="s">
        <v>20</v>
      </c>
      <c r="P13" s="12" t="s">
        <v>26</v>
      </c>
      <c r="Q13" s="30" t="s">
        <v>20</v>
      </c>
      <c r="R13" s="30" t="s">
        <v>22</v>
      </c>
      <c r="S13" s="30" t="s">
        <v>20</v>
      </c>
      <c r="T13" s="30" t="s">
        <v>26</v>
      </c>
      <c r="U13" s="26" t="s">
        <v>20</v>
      </c>
      <c r="V13" s="26" t="s">
        <v>22</v>
      </c>
      <c r="W13" s="26" t="s">
        <v>20</v>
      </c>
      <c r="X13" s="26" t="s">
        <v>26</v>
      </c>
    </row>
    <row r="14" spans="1:24" x14ac:dyDescent="0.25">
      <c r="B14" s="5" t="s">
        <v>12</v>
      </c>
      <c r="C14" s="5" t="s">
        <v>13</v>
      </c>
      <c r="D14" s="9" t="s">
        <v>16</v>
      </c>
      <c r="E14" s="19" t="s">
        <v>16</v>
      </c>
      <c r="F14" s="20" t="s">
        <v>16</v>
      </c>
      <c r="G14" s="80" t="s">
        <v>34</v>
      </c>
      <c r="H14" s="39" t="s">
        <v>30</v>
      </c>
      <c r="I14" s="42" t="s">
        <v>16</v>
      </c>
      <c r="J14" s="45" t="s">
        <v>16</v>
      </c>
      <c r="K14" s="79" t="s">
        <v>16</v>
      </c>
      <c r="L14" s="81" t="s">
        <v>34</v>
      </c>
      <c r="M14" s="5" t="s">
        <v>21</v>
      </c>
      <c r="N14" s="5" t="s">
        <v>21</v>
      </c>
      <c r="O14" s="5" t="s">
        <v>23</v>
      </c>
      <c r="P14" s="5" t="s">
        <v>23</v>
      </c>
      <c r="Q14" s="30" t="s">
        <v>21</v>
      </c>
      <c r="R14" s="30" t="s">
        <v>21</v>
      </c>
      <c r="S14" s="30" t="s">
        <v>23</v>
      </c>
      <c r="T14" s="30" t="s">
        <v>23</v>
      </c>
      <c r="U14" s="26" t="s">
        <v>21</v>
      </c>
      <c r="V14" s="26" t="s">
        <v>21</v>
      </c>
      <c r="W14" s="26" t="s">
        <v>23</v>
      </c>
      <c r="X14" s="26" t="s">
        <v>23</v>
      </c>
    </row>
    <row r="15" spans="1:24" x14ac:dyDescent="0.25">
      <c r="B15" s="5" t="s">
        <v>2</v>
      </c>
      <c r="C15" s="5" t="s">
        <v>14</v>
      </c>
      <c r="D15" s="10" t="s">
        <v>17</v>
      </c>
      <c r="E15" s="13" t="s">
        <v>17</v>
      </c>
      <c r="F15" s="18" t="s">
        <v>17</v>
      </c>
      <c r="G15" s="49" t="s">
        <v>17</v>
      </c>
      <c r="H15" s="12" t="s">
        <v>2</v>
      </c>
      <c r="I15" s="12" t="s">
        <v>17</v>
      </c>
      <c r="J15" s="44" t="s">
        <v>17</v>
      </c>
      <c r="K15" s="26" t="s">
        <v>17</v>
      </c>
      <c r="L15" s="53" t="s">
        <v>17</v>
      </c>
      <c r="M15" s="5" t="s">
        <v>17</v>
      </c>
      <c r="N15" s="5" t="s">
        <v>17</v>
      </c>
      <c r="O15" s="5" t="s">
        <v>24</v>
      </c>
      <c r="P15" s="5" t="s">
        <v>24</v>
      </c>
      <c r="Q15" s="30" t="s">
        <v>17</v>
      </c>
      <c r="R15" s="30" t="s">
        <v>17</v>
      </c>
      <c r="S15" s="30" t="s">
        <v>24</v>
      </c>
      <c r="T15" s="30" t="s">
        <v>24</v>
      </c>
      <c r="U15" s="26" t="s">
        <v>17</v>
      </c>
      <c r="V15" s="26" t="s">
        <v>17</v>
      </c>
      <c r="W15" s="26" t="s">
        <v>24</v>
      </c>
      <c r="X15" s="26" t="s">
        <v>24</v>
      </c>
    </row>
    <row r="16" spans="1:24" x14ac:dyDescent="0.25">
      <c r="D16" s="5"/>
      <c r="E16" s="14"/>
      <c r="F16" s="21"/>
      <c r="G16" s="50"/>
      <c r="H16" s="40"/>
      <c r="I16" s="40"/>
      <c r="J16" s="46"/>
      <c r="K16" s="26"/>
      <c r="L16" s="53"/>
      <c r="Q16" s="29"/>
      <c r="R16" s="29"/>
      <c r="S16" s="29"/>
      <c r="T16" s="29"/>
      <c r="U16" s="34"/>
      <c r="V16" s="34"/>
      <c r="W16" s="34"/>
      <c r="X16" s="34"/>
    </row>
    <row r="17" spans="1:43" s="2" customFormat="1" x14ac:dyDescent="0.25">
      <c r="B17" s="92">
        <v>15</v>
      </c>
      <c r="C17" s="92">
        <v>0</v>
      </c>
      <c r="D17" s="3">
        <f>ROUNDUP((B4 + (B17 *5280/3600)/(2*B5 + 0.644*C17)), 1)</f>
        <v>2.5</v>
      </c>
      <c r="E17" s="15">
        <f>ROUNDUP((C4 + (B17 *5280/3600)/(2*C5 + 0.644*C17)), 1)</f>
        <v>2.1</v>
      </c>
      <c r="F17" s="22">
        <f>ROUNDUP((D4 + (B17 *5280/3600)/(2*D5 + 0.644*C17)), 1)</f>
        <v>3.9</v>
      </c>
      <c r="G17" s="51">
        <f t="shared" ref="G17:G27" si="0">F17-E17</f>
        <v>1.7999999999999998</v>
      </c>
      <c r="H17" s="93">
        <v>15</v>
      </c>
      <c r="I17" s="6">
        <f>ROUNDUP(B4 + (((5280/3600) * (B17 - H17))/(B5 + 0.644*C17)) + ((H17 * 5280/3600)/(2*B5 + 0.644*C17)), 1)</f>
        <v>2.5</v>
      </c>
      <c r="J17" s="47">
        <f>ROUNDUP(C4 + (((5280/3600) * (B17 - H17))/(C5 + 0.644*C17)) + ((H17 * 5280/3600)/(2*C5 + 0.644*C17)), 1)</f>
        <v>2.1</v>
      </c>
      <c r="K17" s="35">
        <f>ROUNDUP(D4 + (((5280/3600) * (B17 - H17))/(D5 + 0.644*C17)) + ((H17 * 5280/3600)/(2*D5 + 0.644*C17)), 1)</f>
        <v>3.9</v>
      </c>
      <c r="L17" s="54">
        <f t="shared" ref="L17:L27" si="1">K17-J17</f>
        <v>1.7999999999999998</v>
      </c>
      <c r="M17" s="3">
        <f>ROUNDUP((B17 *5280/3600)/(B5 + 32.2*SIN(ATAN(C17 * 0.01))), 1)</f>
        <v>2</v>
      </c>
      <c r="N17" s="3">
        <f>ROUNDUP((B4 + (B17 *5280/3600)/(B5 + 32.2*SIN(ATAN(C17 * 0.01)))), 1)</f>
        <v>3.5</v>
      </c>
      <c r="O17" s="3">
        <f>ROUNDUP(((B17 *5280/3600) * (B17 *5280/3600))/(2 * (B5 + 32.2*SIN(ATAN(C17 * 0.01)))), 1)</f>
        <v>21.700000000000003</v>
      </c>
      <c r="P17" s="3">
        <f>ROUNDUP(B4 * (B17 * 5280/3600) + ((B17 * 5280/3600) * (B17 *5280/3600))/(2 * (B5 + 32.2*SIN(ATAN(C17 * 0.01)))), 1)</f>
        <v>54.7</v>
      </c>
      <c r="Q17" s="31">
        <f>ROUNDUP((B17 *5280/3600)/(C5 + 32.2*SIN(ATAN(C17 * 0.01))), 1)</f>
        <v>2.2000000000000002</v>
      </c>
      <c r="R17" s="31">
        <f>ROUNDUP((C4 + (B17 *5280/3600)/(C5 + 32.2*SIN(ATAN(C17 * 0.01)))), 1)</f>
        <v>3.2</v>
      </c>
      <c r="S17" s="31">
        <f>ROUNDUP(((B17 *5280/3600) * (B17 *5280/3600))/(2 * (C5 + 32.2*SIN(ATAN(C17 * 0.01)))), 1)</f>
        <v>24.2</v>
      </c>
      <c r="T17" s="31">
        <f>ROUNDUP(C4 * (B17 * 5280/3600) + ((B17 * 5280/3600) * (B17 *5280/3600))/(2 * (C5 + 32.2*SIN(ATAN(C17 * 0.01)))), 1)</f>
        <v>46.2</v>
      </c>
      <c r="U17" s="35">
        <f>ROUNDUP((B17 *5280/3600)/(D5 + 32.2*SIN(ATAN(C17 * 0.01))), 1)</f>
        <v>2.8000000000000003</v>
      </c>
      <c r="V17" s="35">
        <f>ROUNDUP((D4 + (B17 *5280/3600)/(D5 + 32.2*SIN(ATAN(C17 * 0.01)))), 1)</f>
        <v>5.3</v>
      </c>
      <c r="W17" s="35">
        <f>ROUNDUP(((B17 *5280/3600) * (B17 *5280/3600))/(2 * (D5 + 32.2*SIN(ATAN(C17 * 0.01)))), 1)</f>
        <v>30.3</v>
      </c>
      <c r="X17" s="35">
        <f>ROUNDUP(D4 * (B17 * 5280/3600) + ((B17 * 5280/3600) * (B17 *5280/3600))/(2 * (D5 + 32.2*SIN(ATAN(C17 * 0.01)))), 1)</f>
        <v>85.3</v>
      </c>
      <c r="Y17" s="41"/>
      <c r="Z17" s="41"/>
      <c r="AA17" s="41"/>
      <c r="AB17" s="41"/>
      <c r="AC17" s="41"/>
      <c r="AD17" s="41"/>
      <c r="AE17" s="41"/>
      <c r="AF17" s="41"/>
      <c r="AG17" s="41"/>
      <c r="AH17" s="41"/>
      <c r="AI17" s="41"/>
      <c r="AJ17" s="41"/>
      <c r="AK17" s="41"/>
      <c r="AL17" s="41"/>
      <c r="AM17" s="41"/>
      <c r="AN17" s="41"/>
      <c r="AO17" s="41"/>
      <c r="AP17" s="41"/>
      <c r="AQ17" s="41"/>
    </row>
    <row r="18" spans="1:43" x14ac:dyDescent="0.25">
      <c r="B18" s="89">
        <v>20</v>
      </c>
      <c r="C18" s="89">
        <v>0</v>
      </c>
      <c r="D18" s="1">
        <f>ROUNDUP((B4 + (B18 *5280/3600)/(2*B5 + 0.644*C18)), 1)</f>
        <v>2.9</v>
      </c>
      <c r="E18" s="16">
        <f>ROUNDUP((C4 + (B18 *5280/3600)/(2*C5 + 0.644*C18)), 1)</f>
        <v>2.5</v>
      </c>
      <c r="F18" s="23">
        <f>ROUNDUP((D4 + (B18 *5280/3600)/(2*D5 + 0.644*C18)), 1)</f>
        <v>4.3999999999999995</v>
      </c>
      <c r="G18" s="52">
        <f t="shared" si="0"/>
        <v>1.8999999999999995</v>
      </c>
      <c r="H18" s="94">
        <v>20</v>
      </c>
      <c r="I18" s="6">
        <f>ROUNDUP(B4 + (((5280/3600) * (B18 - H18))/(B5 + 0.644*C18)) + ((H18 * 5280/3600)/(2*B5 + 0.644*C18)), 1)</f>
        <v>2.9</v>
      </c>
      <c r="J18" s="48">
        <f>ROUNDUP(C4 + (((5280/3600) * (B18 - H18))/(C5 + 0.644*C18)) + ((H18 * 5280/3600)/(2*C5 + 0.644*C18)), 1)</f>
        <v>2.5</v>
      </c>
      <c r="K18" s="27">
        <f>ROUNDUP(D4 + (((5280/3600) * (B18 - H18))/(D5 + 0.644*C18)) + ((H18 * 5280/3600)/(2*D5 + 0.644*C18)), 1)</f>
        <v>4.3999999999999995</v>
      </c>
      <c r="L18" s="55">
        <f t="shared" si="1"/>
        <v>1.8999999999999995</v>
      </c>
      <c r="M18" s="1">
        <f>ROUNDUP(((B18 *5280/3600)/(B5 + 32.2*SIN(ATAN(C18 * 0.01)))), 1)</f>
        <v>2.7</v>
      </c>
      <c r="N18" s="1">
        <f>ROUNDUP((B4 + (B18 *5280/3600)/(B5 + 32.2*SIN(ATAN(C18 *0.01)))), 1)</f>
        <v>4.1999999999999993</v>
      </c>
      <c r="O18" s="1">
        <f>ROUNDUP(((B18 *5280/3600) * (B18 *5280/3600))/(2 * (B5 + 32.2*SIN(ATAN(C18 * 0.01)))), 1)</f>
        <v>38.5</v>
      </c>
      <c r="P18" s="1">
        <f>ROUNDUP(B4 * (B18 * 5280/3600) + ((B18 * 5280/3600) * (B18 *5280/3600))/(2 * (B5 + 32.2*SIN(ATAN(C18 * 0.01)))), 1)</f>
        <v>82.5</v>
      </c>
      <c r="Q18" s="32">
        <f>ROUNDUP(((B18 *5280/3600)/(C5 + 32.2*SIN(ATAN(C18 * 0.01)))), 1)</f>
        <v>3</v>
      </c>
      <c r="R18" s="32">
        <f>ROUNDUP((C4 + (B18 *5280/3600)/(C5 + 32.2*SIN(ATAN(C18 *0.01)))), 1)</f>
        <v>4</v>
      </c>
      <c r="S18" s="32">
        <f>ROUNDUP(((B18 *5280/3600) * (B18 *5280/3600))/(2 * (C5 + 32.2*SIN(ATAN(C18 * 0.01)))), 1)</f>
        <v>43.1</v>
      </c>
      <c r="T18" s="32">
        <f>ROUNDUP(C4 * (B18 * 5280/3600) + ((B18 * 5280/3600) * (B18 *5280/3600))/(2 * (C5 + 32.2*SIN(ATAN(C18 * 0.01)))), 1)</f>
        <v>72.399999999999991</v>
      </c>
      <c r="U18" s="27">
        <f>ROUNDUP((B18 *5280/3600)/(D5 + 32.2*SIN(ATAN(C18 * 0.01))), 1)</f>
        <v>3.7</v>
      </c>
      <c r="V18" s="27">
        <f>ROUNDUP((D4 + (B18 *5280/3600)/(D5 + 32.2*SIN(ATAN(C18 * 0.01)))), 1)</f>
        <v>6.1999999999999993</v>
      </c>
      <c r="W18" s="27">
        <f>ROUNDUP(((B18 *5280/3600) * (B18 *5280/3600))/(2 * (D5 + 32.2*SIN(ATAN(C18 * 0.01)))), 1)</f>
        <v>53.800000000000004</v>
      </c>
      <c r="X18" s="27">
        <f>ROUNDUP(D4 * (B18 * 5280/3600) + ((B18 * 5280/3600) * (B18 *5280/3600))/(2 * (D5 + 32.2*SIN(ATAN(C18 * 0.01)))), 1)</f>
        <v>127.19999999999999</v>
      </c>
      <c r="Y18" s="7"/>
      <c r="Z18" s="7"/>
      <c r="AA18" s="7"/>
      <c r="AB18" s="7"/>
      <c r="AC18" s="7"/>
      <c r="AD18" s="7"/>
      <c r="AE18" s="7"/>
      <c r="AF18" s="7"/>
      <c r="AG18" s="7"/>
      <c r="AH18" s="7"/>
      <c r="AI18" s="7"/>
      <c r="AJ18" s="7"/>
      <c r="AK18" s="7"/>
      <c r="AL18" s="7"/>
      <c r="AM18" s="7"/>
      <c r="AN18" s="7"/>
      <c r="AO18" s="7"/>
      <c r="AP18" s="7"/>
      <c r="AQ18" s="7"/>
    </row>
    <row r="19" spans="1:43" s="2" customFormat="1" x14ac:dyDescent="0.25">
      <c r="B19" s="92">
        <v>25</v>
      </c>
      <c r="C19" s="92">
        <v>0</v>
      </c>
      <c r="D19" s="3">
        <f>ROUNDUP((B4 + (B19 *5280/3600)/(2*B5 + 0.644*C19)), 1)</f>
        <v>3.2</v>
      </c>
      <c r="E19" s="15">
        <f>ROUNDUP((C4 + (B19 *5280/3600)/(2*C5 + 0.644*C19)), 1)</f>
        <v>2.9</v>
      </c>
      <c r="F19" s="22">
        <f>ROUNDUP((D4 + (B19 *5280/3600)/(2*D5 + 0.644*C19)), 1)</f>
        <v>4.8</v>
      </c>
      <c r="G19" s="51">
        <f t="shared" si="0"/>
        <v>1.9</v>
      </c>
      <c r="H19" s="93">
        <v>20</v>
      </c>
      <c r="I19" s="6">
        <f>ROUNDUP(B4 + (((5280/3600) * (B19 - H19))/(B5 + 0.644*C19)) + ((H19 * 5280/3600)/(2*B5 + 0.644*C19)), 1)</f>
        <v>3.5</v>
      </c>
      <c r="J19" s="47">
        <f>ROUNDUP(C4 + (((5280/3600) * (B19 - H19))/(C5 + 0.644*C19)) + ((H19 * 5280/3600)/(2*C5 + 0.644*C19)), 1)</f>
        <v>3.2</v>
      </c>
      <c r="K19" s="35">
        <f>ROUNDUP(D4 + (((5280/3600) * (B19 - H19))/(D5 + 0.644*C19)) + ((H19 * 5280/3600)/(2*D5 + 0.644*C19)), 1)</f>
        <v>5.3</v>
      </c>
      <c r="L19" s="54">
        <f t="shared" si="1"/>
        <v>2.0999999999999996</v>
      </c>
      <c r="M19" s="3">
        <f>ROUNDUP(((B19 *5280/3600)/(B5 + 32.2*SIN(ATAN(C19*0.01)))), 1)</f>
        <v>3.3000000000000003</v>
      </c>
      <c r="N19" s="3">
        <f>ROUNDUP((B4 + (B19 *5280/3600)/(B5 + 32.2*SIN(ATAN(C19 *0.01)))), 1)</f>
        <v>4.8</v>
      </c>
      <c r="O19" s="3">
        <f>ROUNDUP(((B19 *5280/3600) * (B19 *5280/3600))/(2 * (B5 + 32.2*SIN(ATAN(C19 * 0.01)))), 1)</f>
        <v>60.1</v>
      </c>
      <c r="P19" s="3">
        <f>ROUNDUP(B4 * (B19 * 5280/3600) + ((B19 * 5280/3600) * (B19 *5280/3600))/(2 * (B5 + 32.2*SIN(ATAN(C19 * 0.01)))), 1)</f>
        <v>115.1</v>
      </c>
      <c r="Q19" s="31">
        <f>ROUNDUP(((B19 *5280/3600)/(C5 + 32.2*SIN(ATAN(C19*0.01)))), 1)</f>
        <v>3.7</v>
      </c>
      <c r="R19" s="31">
        <f>ROUNDUP((C4 + (B19 *5280/3600)/(C5 + 32.2*SIN(ATAN(C19 *0.01)))), 1)</f>
        <v>4.6999999999999993</v>
      </c>
      <c r="S19" s="31">
        <f>ROUNDUP(((B19 *5280/3600) * (B19 *5280/3600))/(2 * (C5 + 32.2*SIN(ATAN(C19 * 0.01)))), 1)</f>
        <v>67.3</v>
      </c>
      <c r="T19" s="31">
        <f>ROUNDUP(C4 * (B19 * 5280/3600) + ((B19 * 5280/3600) * (B19 *5280/3600))/(2 * (C5 + 32.2*SIN(ATAN(C19 * 0.01)))), 1)</f>
        <v>103.89999999999999</v>
      </c>
      <c r="U19" s="35">
        <f>ROUNDUP((B19 *5280/3600)/(D5 + 32.2*SIN(ATAN(C19 * 0.01))), 1)</f>
        <v>4.5999999999999996</v>
      </c>
      <c r="V19" s="35">
        <f>ROUNDUP((D4 + (B19 *5280/3600)/(D5 + 32.2*SIN(ATAN(C19 * 0.01)))), 1)</f>
        <v>7.1</v>
      </c>
      <c r="W19" s="35">
        <f>ROUNDUP(((B19*5280/3600) * (B19 *5280/3600))/(2 * (D5 + 32.2*SIN(ATAN(C19 * 0.01)))), 1)</f>
        <v>84.1</v>
      </c>
      <c r="X19" s="35">
        <f>ROUNDUP(D4 * (B19 * 5280/3600) + ((B19 * 5280/3600) * (B19 *5280/3600))/(2 * (D5 + 32.2*SIN(ATAN(C19 * 0.01)))), 1)</f>
        <v>175.7</v>
      </c>
      <c r="Y19" s="41"/>
      <c r="Z19" s="41"/>
      <c r="AA19" s="41"/>
      <c r="AB19" s="41"/>
      <c r="AC19" s="41"/>
      <c r="AD19" s="41"/>
      <c r="AE19" s="41"/>
      <c r="AF19" s="41"/>
      <c r="AG19" s="41"/>
      <c r="AH19" s="41"/>
      <c r="AI19" s="41"/>
      <c r="AJ19" s="41"/>
      <c r="AK19" s="41"/>
      <c r="AL19" s="41"/>
      <c r="AM19" s="41"/>
      <c r="AN19" s="41"/>
      <c r="AO19" s="41"/>
      <c r="AP19" s="41"/>
      <c r="AQ19" s="41"/>
    </row>
    <row r="20" spans="1:43" x14ac:dyDescent="0.25">
      <c r="B20" s="89">
        <v>30</v>
      </c>
      <c r="C20" s="89">
        <v>0</v>
      </c>
      <c r="D20" s="1">
        <f>ROUNDUP((B4 + (B20 *5280/3600)/(2*B5 + 0.644*C20)), 1)</f>
        <v>3.5</v>
      </c>
      <c r="E20" s="16">
        <f>ROUNDUP((C4 + (B20 *5280/3600)/(2*C5 + 0.644*C20)), 1)</f>
        <v>3.2</v>
      </c>
      <c r="F20" s="23">
        <f>ROUNDUP((D4 + (B20 *5280/3600)/(2*D5 + 0.644*C20)), 1)</f>
        <v>5.3</v>
      </c>
      <c r="G20" s="52">
        <f t="shared" si="0"/>
        <v>2.0999999999999996</v>
      </c>
      <c r="H20" s="94">
        <v>20</v>
      </c>
      <c r="I20" s="43">
        <f>ROUNDUP(B4 + (((5280/3600) * (B20 - H20))/(B5 + 0.644*C20)) + ((H20 * 5280/3600)/(2*B5 + 0.644*C20)), 1)</f>
        <v>4.1999999999999993</v>
      </c>
      <c r="J20" s="48">
        <f>ROUNDUP(C4 + (((5280/3600) * (B20 - H20))/(C5 + 0.644*C20)) + ((H20 * 5280/3600)/(2*C5 + 0.644*C20)), 1)</f>
        <v>4</v>
      </c>
      <c r="K20" s="27">
        <f>ROUNDUP(D4 + (((5280/3600) * (B20 - H20))/(D5 + 0.644*C20)) + ((H20 * 5280/3600)/(2*D5 + 0.644*C20)), 1)</f>
        <v>6.1999999999999993</v>
      </c>
      <c r="L20" s="55">
        <f t="shared" si="1"/>
        <v>2.1999999999999993</v>
      </c>
      <c r="M20" s="1">
        <f>ROUNDUP(((B20 *5280/3600)/(B5 + 32.2*SIN(ATAN(C20 *0.01)))), 1)</f>
        <v>4</v>
      </c>
      <c r="N20" s="1">
        <f>ROUNDUP((B4 + (B20 *5280/3600)/(B5 + 32.2*SIN(ATAN(C20 * 0.01)))), 1)</f>
        <v>5.5</v>
      </c>
      <c r="O20" s="1">
        <f>ROUNDUP(((B20 *5280/3600) * (B20 *5280/3600))/(2 * (B5 + 32.2*SIN(ATAN(C20 * 0.01)))), 1)</f>
        <v>86.5</v>
      </c>
      <c r="P20" s="1">
        <f>ROUNDUP(B4 * (B20 * 5280/3600) + ((B20 * 5280/3600) * (B20 *5280/3600))/(2 * (B5 + 32.2*SIN(ATAN(C20 * 0.01)))), 1)</f>
        <v>152.5</v>
      </c>
      <c r="Q20" s="32">
        <f>ROUNDUP(((B20 *5280/3600)/(C5 + 32.2*SIN(ATAN(C20 *0.01)))), 1)</f>
        <v>4.4000000000000004</v>
      </c>
      <c r="R20" s="32">
        <f>ROUNDUP((C4 + (B20 *5280/3600)/(C5 + 32.2*SIN(ATAN(C20 * 0.01)))), 1)</f>
        <v>5.4</v>
      </c>
      <c r="S20" s="32">
        <f>ROUNDUP(((B20 *5280/3600) * (B20 *5280/3600))/(2 * (C5 + 32.2*SIN(ATAN(C20 * 0.01)))), 1)</f>
        <v>96.8</v>
      </c>
      <c r="T20" s="32">
        <f>ROUNDUP(C4 * (B20 * 5280/3600) + ((B20 * 5280/3600) * (B20 *5280/3600))/(2 * (C5 + 32.2*SIN(ATAN(C20 * 0.01)))), 1)</f>
        <v>140.80000000000001</v>
      </c>
      <c r="U20" s="27">
        <f>ROUNDUP((B20 *5280/3600)/(D5 + 32.2*SIN(ATAN(C20 * 0.01))), 1)</f>
        <v>5.5</v>
      </c>
      <c r="V20" s="27">
        <f>ROUNDUP((D4 + (B20 *5280/3600)/(D5 + 32.2*SIN(ATAN(C20 * 0.01)))), 1)</f>
        <v>8</v>
      </c>
      <c r="W20" s="27">
        <f>ROUNDUP(((B20 *5280/3600) * (B20 *5280/3600))/(2 * (D5 + 32.2*SIN(ATAN(C20 * 0.01)))), 1)</f>
        <v>121</v>
      </c>
      <c r="X20" s="27">
        <f>ROUNDUP(D4 * (B20 * 5280/3600) + ((B20 * 5280/3600) * (B20 *5280/3600))/(2 * (D5 + 32.2*SIN(ATAN(C20 * 0.01)))), 1)</f>
        <v>231</v>
      </c>
      <c r="Y20" s="7"/>
      <c r="Z20" s="7"/>
      <c r="AA20" s="7"/>
      <c r="AB20" s="7"/>
      <c r="AC20" s="7"/>
      <c r="AD20" s="7"/>
      <c r="AE20" s="7"/>
      <c r="AF20" s="7"/>
      <c r="AG20" s="7"/>
      <c r="AH20" s="7"/>
      <c r="AI20" s="7"/>
      <c r="AJ20" s="7"/>
      <c r="AK20" s="7"/>
      <c r="AL20" s="7"/>
      <c r="AM20" s="7"/>
      <c r="AN20" s="7"/>
      <c r="AO20" s="7"/>
      <c r="AP20" s="7"/>
      <c r="AQ20" s="7"/>
    </row>
    <row r="21" spans="1:43" s="2" customFormat="1" x14ac:dyDescent="0.25">
      <c r="B21" s="92">
        <v>35</v>
      </c>
      <c r="C21" s="92">
        <v>0</v>
      </c>
      <c r="D21" s="3">
        <f>ROUNDUP((B4 + (B21 *5280/3600)/(2*B5 +0.644*C21)), 1)</f>
        <v>3.8000000000000003</v>
      </c>
      <c r="E21" s="15">
        <f>ROUNDUP((C4 + (B21 *5280/3600)/(2*C5 + 0.644*C21)), 1)</f>
        <v>3.6</v>
      </c>
      <c r="F21" s="22">
        <f>ROUNDUP((D4 + (B21 *5280/3600)/(2*D5 + 0.644*C21)), 1)</f>
        <v>5.8</v>
      </c>
      <c r="G21" s="51">
        <f t="shared" si="0"/>
        <v>2.1999999999999997</v>
      </c>
      <c r="H21" s="93">
        <v>20</v>
      </c>
      <c r="I21" s="6">
        <f>ROUNDUP(B4 + (((5280/3600) * (B21 - H21))/(B5 + 0.644*C21)) + ((H21 * 5280/3600)/(2*B5 + 0.644*C21)), 1)</f>
        <v>4.8</v>
      </c>
      <c r="J21" s="47">
        <f>ROUNDUP(C4 + (((5280/3600) * (B21 - H21))/(C5 + 0.644*C21)) + ((H21 * 5280/3600)/(2*C5 + 0.644*C21)), 1)</f>
        <v>4.6999999999999993</v>
      </c>
      <c r="K21" s="35">
        <f>ROUNDUP(D4 + (((5280/3600) * (B21 - H21))/(D5 + 0.644*C21)) + ((H21 * 5280/3600)/(2*D5 + 0.644*C21)), 1)</f>
        <v>7.1</v>
      </c>
      <c r="L21" s="54">
        <f t="shared" si="1"/>
        <v>2.4000000000000004</v>
      </c>
      <c r="M21" s="3">
        <f>ROUNDUP(((B21 *5280/3600)/(B5 + 32.2*SIN(ATAN(C21 * 0.01)))), 1)</f>
        <v>4.5999999999999996</v>
      </c>
      <c r="N21" s="3">
        <f>ROUNDUP((B4 + (B21 *5280/3600)/(B5 + 32.2*SIN(ATAN(C21 *0.01)))), 1)</f>
        <v>6.1</v>
      </c>
      <c r="O21" s="3">
        <f>ROUNDUP(((B21 *5280/3600) * (B21 *5280/3600))/(2 * (B5 + 32.2*SIN(ATAN(C21 * 0.01)))), 1)</f>
        <v>117.69999999999999</v>
      </c>
      <c r="P21" s="3">
        <f>ROUNDUP(B4 * (B21 * 5280/3600) + ((B21 * 5280/3600) * (B21 *5280/3600))/(2 * (B5 + 32.2*SIN(ATAN(C21 * 0.01)))), 1)</f>
        <v>194.7</v>
      </c>
      <c r="Q21" s="31">
        <f>ROUNDUP(((B21 *5280/3600)/(C5 + 32.2*SIN(ATAN(C21 * 0.01)))), 1)</f>
        <v>5.1999999999999993</v>
      </c>
      <c r="R21" s="31">
        <f>ROUNDUP((C4 + (B21 *5280/3600)/(C5 + 32.2*SIN(ATAN(C21 *0.01)))), 1)</f>
        <v>6.1999999999999993</v>
      </c>
      <c r="S21" s="31">
        <f>ROUNDUP(((B21 *5280/3600) * (B21 *5280/3600))/(2 * (C5 + 32.2*SIN(ATAN(C21 * 0.01)))), 1)</f>
        <v>131.79999999999998</v>
      </c>
      <c r="T21" s="31">
        <f>ROUNDUP(C4 * (B21 * 5280/3600) + ((B21 * 5280/3600) * (B21 *5280/3600))/(2 * (C5 + 32.2*SIN(ATAN(C21 * 0.01)))), 1)</f>
        <v>183.1</v>
      </c>
      <c r="U21" s="35">
        <f>ROUNDUP((B21 *5280/3600)/(D5 + 32.2*SIN(ATAN(C21 * 0.01))), 1)</f>
        <v>6.5</v>
      </c>
      <c r="V21" s="35">
        <f>ROUNDUP((D4 + (B21 *5280/3600)/(D5 + 32.2*SIN(ATAN(C21 * 0.01)))), 1)</f>
        <v>9</v>
      </c>
      <c r="W21" s="35">
        <f>ROUNDUP(((B21 *5280/3600) * (B21 *5280/3600))/(2 * (D5 + 32.2*SIN(ATAN(C21 * 0.01)))), 1)</f>
        <v>164.7</v>
      </c>
      <c r="X21" s="35">
        <f>ROUNDUP(D4 * (B21 * 5280/3600) + ((B21 * 5280/3600) * (B21 *5280/3600))/(2 * (D5 + 32.2*SIN(ATAN(C21 * 0.01)))), 1)</f>
        <v>293.10000000000002</v>
      </c>
      <c r="Y21" s="41"/>
      <c r="Z21" s="41"/>
      <c r="AA21" s="41"/>
      <c r="AB21" s="41"/>
      <c r="AC21" s="41"/>
      <c r="AD21" s="41"/>
      <c r="AE21" s="41"/>
      <c r="AF21" s="41"/>
      <c r="AG21" s="41"/>
      <c r="AH21" s="41"/>
      <c r="AI21" s="41"/>
      <c r="AJ21" s="41"/>
      <c r="AK21" s="41"/>
      <c r="AL21" s="41"/>
      <c r="AM21" s="41"/>
      <c r="AN21" s="41"/>
      <c r="AO21" s="41"/>
      <c r="AP21" s="41"/>
      <c r="AQ21" s="41"/>
    </row>
    <row r="22" spans="1:43" x14ac:dyDescent="0.25">
      <c r="B22" s="89">
        <v>40</v>
      </c>
      <c r="C22" s="89">
        <v>0</v>
      </c>
      <c r="D22" s="1">
        <f>ROUNDUP((B4 + (B22 *5280/3600)/(2*B5 + 0.644*C22)), 1)</f>
        <v>4.1999999999999993</v>
      </c>
      <c r="E22" s="16">
        <f>ROUNDUP((C4 + (B22 *5280/3600)/(2*C5 + 0.644*C22)), 1)</f>
        <v>4</v>
      </c>
      <c r="F22" s="23">
        <f>ROUNDUP((D4 + (B22 *5280/3600)/(2*D5 + 0.644*C22)), 1)</f>
        <v>6.1999999999999993</v>
      </c>
      <c r="G22" s="52">
        <f t="shared" si="0"/>
        <v>2.1999999999999993</v>
      </c>
      <c r="H22" s="94">
        <v>20</v>
      </c>
      <c r="I22" s="43">
        <f>ROUNDUP(B4 + (((5280/3600) * (B22 - H22))/(B5 + 0.644*C22)) + ((H22 * 5280/3600)/(2*B5 + 0.644*C22)), 1)</f>
        <v>5.5</v>
      </c>
      <c r="J22" s="48">
        <f>ROUNDUP(C4 + (((5280/3600) * (B22 - H22))/(C5 + 0.644*C22)) + ((H22 * 5280/3600)/(2*C5 + 0.644*C22)), 1)</f>
        <v>5.4</v>
      </c>
      <c r="K22" s="27">
        <f>ROUNDUP(D4 + (((5280/3600) * (B22 - H22))/(D5 + 0.644*C22)) + ((H22 * 5280/3600)/(2*D5 + 0.644*C22)), 1)</f>
        <v>8</v>
      </c>
      <c r="L22" s="55">
        <f t="shared" si="1"/>
        <v>2.5999999999999996</v>
      </c>
      <c r="M22" s="1">
        <f>ROUNDUP(((B22 *5280/3600)/(B5 + 32.2*SIN(ATAN(C22 * 0.01)))), 1)</f>
        <v>5.3</v>
      </c>
      <c r="N22" s="1">
        <f>ROUNDUP((B4 + (B22 *5280/3600)/(B5 + 32.2*SIN(ATAN(C22 * 0.01)))), 1)</f>
        <v>6.8</v>
      </c>
      <c r="O22" s="1">
        <f>ROUNDUP(((B22 *5280/3600) * (B22 *5280/3600))/(2 * (B5 + 32.2*SIN(ATAN(C22 * 0.01)))), 1)</f>
        <v>153.69999999999999</v>
      </c>
      <c r="P22" s="1">
        <f>ROUNDUP(B4 * (B22 * 5280/3600) + ((B22 * 5280/3600) * (B22 *5280/3600))/(2 * (B5 + 32.2*SIN(ATAN(C22 * 0.01)))), 1)</f>
        <v>241.7</v>
      </c>
      <c r="Q22" s="32">
        <f>ROUNDUP(((B22 *5280/3600)/(C5 + 32.2*SIN(ATAN(C22 * 0.01)))), 1)</f>
        <v>5.8999999999999995</v>
      </c>
      <c r="R22" s="32">
        <f>ROUNDUP((C4 + (B22 *5280/3600)/(C5 + 32.2*SIN(ATAN(C22 * 0.01)))), 1)</f>
        <v>6.8999999999999995</v>
      </c>
      <c r="S22" s="32">
        <f>ROUNDUP(((B22 *5280/3600) * (B22 *5280/3600))/(2 * (C5 + 32.2*SIN(ATAN(C22 * 0.01)))), 1)</f>
        <v>172.1</v>
      </c>
      <c r="T22" s="32">
        <f>ROUNDUP(C4 * (B22 * 5280/3600) + ((B22 * 5280/3600) * (B22 *5280/3600))/(2 * (C5 + 32.2*SIN(ATAN(C22 * 0.01)))), 1)</f>
        <v>230.79999999999998</v>
      </c>
      <c r="U22" s="27">
        <f>ROUNDUP((B22 *5280/3600)/(D5 + 32.2*SIN(ATAN(C22 * 0.01))), 1)</f>
        <v>7.3999999999999995</v>
      </c>
      <c r="V22" s="27">
        <f>ROUNDUP((D4 + (B22 *5280/3600)/(D5 + 32.2*SIN(ATAN(C22 * 0.01)))), 1)</f>
        <v>9.9</v>
      </c>
      <c r="W22" s="27">
        <f>ROUNDUP(((B22 *5280/3600) * (B22 *5280/3600))/(2 * (D5 + 32.2*SIN(ATAN(C22 * 0.01)))), 1)</f>
        <v>215.2</v>
      </c>
      <c r="X22" s="27">
        <f>ROUNDUP(D4 * (B22* 5280/3600) + ((B22 * 5280/3600) * (B22 *5280/3600))/(2 * (D5 + 32.2*SIN(ATAN(C22 * 0.01)))), 1)</f>
        <v>361.8</v>
      </c>
      <c r="Y22" s="7"/>
      <c r="Z22" s="7"/>
      <c r="AA22" s="7"/>
      <c r="AB22" s="7"/>
      <c r="AC22" s="7"/>
      <c r="AD22" s="7"/>
      <c r="AE22" s="7"/>
      <c r="AF22" s="7"/>
      <c r="AG22" s="7"/>
      <c r="AH22" s="7"/>
      <c r="AI22" s="7"/>
      <c r="AJ22" s="7"/>
      <c r="AK22" s="7"/>
      <c r="AL22" s="7"/>
      <c r="AM22" s="7"/>
      <c r="AN22" s="7"/>
      <c r="AO22" s="7"/>
      <c r="AP22" s="7"/>
      <c r="AQ22" s="7"/>
    </row>
    <row r="23" spans="1:43" s="2" customFormat="1" x14ac:dyDescent="0.25">
      <c r="B23" s="92">
        <v>45</v>
      </c>
      <c r="C23" s="92">
        <v>0</v>
      </c>
      <c r="D23" s="3">
        <f>ROUNDUP((B4 + (B23 *5280/3600)/(2*B5 + 0.644*C23)), 1)</f>
        <v>4.5</v>
      </c>
      <c r="E23" s="15">
        <f>ROUNDUP((C4 + (B23 *5280/3600)/(2*C5 + 0.644*C23)), 1)</f>
        <v>4.3</v>
      </c>
      <c r="F23" s="22">
        <f>ROUNDUP((D4 + (B23 *5280/3600)/(2*D5 + 0.644*C23)), 1)</f>
        <v>6.6999999999999993</v>
      </c>
      <c r="G23" s="51">
        <f t="shared" si="0"/>
        <v>2.3999999999999995</v>
      </c>
      <c r="H23" s="93">
        <v>20</v>
      </c>
      <c r="I23" s="6">
        <f>ROUNDUP(B4 + (((5280/3600) * (B23 - H23))/(B5 + 0.644*C23)) + ((H23 * 5280/3600)/(2*B5 + 0.644*C23)), 1)</f>
        <v>6.1</v>
      </c>
      <c r="J23" s="47">
        <f>ROUNDUP(C4 + (((5280/3600) * (B23 - H23))/(C5 + 0.644*C23)) + ((H23 * 5280/3600)/(2*C5 + 0.644*C23)), 1)</f>
        <v>6.1999999999999993</v>
      </c>
      <c r="K23" s="35">
        <f>ROUNDUP(D4 + (((5280/3600) * (B23 - H23))/(D5 + 0.644*C23)) + ((H23 * 5280/3600)/(2*D5 + 0.644*C23)), 1)</f>
        <v>9</v>
      </c>
      <c r="L23" s="54">
        <f t="shared" si="1"/>
        <v>2.8000000000000007</v>
      </c>
      <c r="M23" s="3">
        <f>ROUNDUP(((B23 *5280/3600)/(B5 + 32.2*SIN(ATAN(C23 * 0.01)))), 1)</f>
        <v>5.8999999999999995</v>
      </c>
      <c r="N23" s="3">
        <f>ROUNDUP((B4 + (B23 *5280/3600)/(B5 + 32.2*SIN(ATAN(C23 * 0.01)))), 1)</f>
        <v>7.3999999999999995</v>
      </c>
      <c r="O23" s="3">
        <f>ROUNDUP(((B23 *5280/3600) * (B23 *5280/3600))/(2 * (B5 + 32.2*SIN(ATAN(C23 * 0.01)))), 1)</f>
        <v>194.5</v>
      </c>
      <c r="P23" s="3">
        <f>ROUNDUP(B4 * (B23 * 5280/3600) + ((B23 * 5280/3600) * (B23 *5280/3600))/(2 * (B5 + 32.2*SIN(ATAN(C23 * 0.01)))), 1)</f>
        <v>293.5</v>
      </c>
      <c r="Q23" s="31">
        <f>ROUNDUP(((B23 *5280/3600)/(C5 + 32.2*SIN(ATAN(C23 * 0.01)))), 1)</f>
        <v>6.6</v>
      </c>
      <c r="R23" s="31">
        <f>ROUNDUP((C4 + (B23 *5280/3600)/(C5 + 32.2*SIN(ATAN(C23 * 0.01)))), 1)</f>
        <v>7.6</v>
      </c>
      <c r="S23" s="31">
        <f>ROUNDUP(((B23 *5280/3600) * (B23 *5280/3600))/(2 * (C5 + 32.2*SIN(ATAN(C23 * 0.01)))), 1)</f>
        <v>217.8</v>
      </c>
      <c r="T23" s="31">
        <f>ROUNDUP(C4 * (B23 * 5280/3600) + ((B23 * 5280/3600) * (B23 *5280/3600))/(2 * (C5 + 32.2*SIN(ATAN(C23 * 0.01)))), 1)</f>
        <v>283.8</v>
      </c>
      <c r="U23" s="35">
        <f>ROUNDUP((B23 *5280/3600)/(D5 + 32.2*SIN(ATAN(C23 * 0.01))), 1)</f>
        <v>8.2999999999999989</v>
      </c>
      <c r="V23" s="35">
        <f>ROUNDUP((D4 + (B23*5280/3600)/(D5 + 32.2*SIN(ATAN(C23 * 0.01)))), 1)</f>
        <v>10.799999999999999</v>
      </c>
      <c r="W23" s="35">
        <f>ROUNDUP(((B23 *5280/3600) * (B23 *5280/3600))/(2 * (D5 + 32.2*SIN(ATAN(C23 * 0.01)))), 1)</f>
        <v>272.3</v>
      </c>
      <c r="X23" s="35">
        <f>ROUNDUP(D4 * (B23 * 5280/3600) + ((B23 * 5280/3600) * (B23 *5280/3600))/(2 * (D5 + 32.2*SIN(ATAN(C23 * 0.01)))), 1)</f>
        <v>437.3</v>
      </c>
      <c r="Y23" s="41"/>
      <c r="Z23" s="41"/>
      <c r="AA23" s="41"/>
      <c r="AB23" s="41"/>
      <c r="AC23" s="41"/>
      <c r="AD23" s="41"/>
      <c r="AE23" s="41"/>
      <c r="AF23" s="41"/>
      <c r="AG23" s="41"/>
      <c r="AH23" s="41"/>
      <c r="AI23" s="41"/>
      <c r="AJ23" s="41"/>
      <c r="AK23" s="41"/>
      <c r="AL23" s="41"/>
      <c r="AM23" s="41"/>
      <c r="AN23" s="41"/>
      <c r="AO23" s="41"/>
      <c r="AP23" s="41"/>
      <c r="AQ23" s="41"/>
    </row>
    <row r="24" spans="1:43" x14ac:dyDescent="0.25">
      <c r="B24" s="89">
        <v>50</v>
      </c>
      <c r="C24" s="89">
        <v>0</v>
      </c>
      <c r="D24" s="1">
        <f>ROUNDUP((B4 + (B24 *5280/3600)/(2*B5 + 0.644*C24)), 1)</f>
        <v>4.8</v>
      </c>
      <c r="E24" s="16">
        <f>ROUNDUP((C4 + (B24 *5280/3600)/(2*C5 + 0.644*C24)), 1)</f>
        <v>4.6999999999999993</v>
      </c>
      <c r="F24" s="23">
        <f>ROUNDUP((D4 + (B24 *5280/3600)/(2*D5 + 0.644*C24)), 1)</f>
        <v>7.1</v>
      </c>
      <c r="G24" s="52">
        <f t="shared" si="0"/>
        <v>2.4000000000000004</v>
      </c>
      <c r="H24" s="94">
        <v>20</v>
      </c>
      <c r="I24" s="43">
        <f>ROUNDUP(B4 + (((5280/3600) * (B24 - H24))/(B5 + 0.644*C24)) + ((H24 * 5280/3600)/(2*B5 + 0.644*C24)), 1)</f>
        <v>6.8</v>
      </c>
      <c r="J24" s="48">
        <f>ROUNDUP(C4 + (((5280/3600) * (B24 - H24))/(C5 + 0.644*C24)) + ((H24 * 5280/3600)/(2*C5 + 0.644*C24)), 1)</f>
        <v>6.8999999999999995</v>
      </c>
      <c r="K24" s="27">
        <f>ROUNDUP(D4 + (((5280/3600) * (B24 - H24))/(D5 + 0.644*C24)) + ((H24 * 5280/3600)/(2*D5 + 0.644*C24)), 1)</f>
        <v>9.9</v>
      </c>
      <c r="L24" s="55">
        <f t="shared" si="1"/>
        <v>3.0000000000000009</v>
      </c>
      <c r="M24" s="1">
        <f>ROUNDUP(((B24 *5280/3600)/(B5 + 32.2*SIN(ATAN(C24*0.01)))), 1)</f>
        <v>6.6</v>
      </c>
      <c r="N24" s="1">
        <f>ROUNDUP((B4 + (B24 *5280/3600)/(B5 + 32.2*SIN(ATAN(C24 *0.01)))), 1)</f>
        <v>8.1</v>
      </c>
      <c r="O24" s="1">
        <f>ROUNDUP(((B24 *5280/3600) * (B24 *5280/3600))/(2 * (B5 + 32.2*SIN(ATAN(C24 * 0.01)))), 1)</f>
        <v>240.1</v>
      </c>
      <c r="P24" s="1">
        <f>ROUNDUP(B4 * (B24 * 5280/3600) + ((B24 * 5280/3600) * (B24 *5280/3600))/(2 * (B5 + 32.2*SIN(ATAN(C24 * 0.01)))), 1)</f>
        <v>350.1</v>
      </c>
      <c r="Q24" s="32">
        <f>ROUNDUP(((B24 *5280/3600)/(C5 + 32.2*SIN(ATAN(C24*0.01)))), 1)</f>
        <v>7.3999999999999995</v>
      </c>
      <c r="R24" s="32">
        <f>ROUNDUP((C4 + (B24 *5280/3600)/(C5 + 32.2*SIN(ATAN(C24 *0.01)))), 1)</f>
        <v>8.4</v>
      </c>
      <c r="S24" s="32">
        <f>ROUNDUP(((B24 *5280/3600) * (B24 *5280/3600))/(2 * (C5 + 32.2*SIN(ATAN(C24 * 0.01)))), 1)</f>
        <v>268.90000000000003</v>
      </c>
      <c r="T24" s="32">
        <f>ROUNDUP(C4 * (B24 * 5280/3600) + ((B24 * 5280/3600) * (B24 *5280/3600))/(2 * (C5 + 32.2*SIN(ATAN(C24 * 0.01)))), 1)</f>
        <v>342.3</v>
      </c>
      <c r="U24" s="27">
        <f>ROUNDUP((B24 *5280/3600)/(D5 + 32.2*SIN(ATAN(C24 * 0.01))), 1)</f>
        <v>9.1999999999999993</v>
      </c>
      <c r="V24" s="27">
        <f>ROUNDUP((D4 + (B24 *5280/3600)/(D5 + 32.2*SIN(ATAN(C24 * 0.01)))), 1)</f>
        <v>11.7</v>
      </c>
      <c r="W24" s="27">
        <f>ROUNDUP(((B24 *5280/3600) * (B24 *5280/3600))/(2 * (D5 + 32.2*SIN(ATAN(C24 * 0.01)))), 1)</f>
        <v>336.20000000000005</v>
      </c>
      <c r="X24" s="27">
        <f>ROUNDUP(D4 * (B24 * 5280/3600) + ((B24 * 5280/3600) * (B24 *5280/3600))/(2 * (D5 + 32.2*SIN(ATAN(C24 * 0.01)))), 1)</f>
        <v>519.5</v>
      </c>
      <c r="Y24" s="7"/>
      <c r="Z24" s="7"/>
      <c r="AA24" s="7"/>
      <c r="AB24" s="7"/>
      <c r="AC24" s="7"/>
      <c r="AD24" s="7"/>
      <c r="AE24" s="7"/>
      <c r="AF24" s="7"/>
      <c r="AG24" s="7"/>
      <c r="AH24" s="7"/>
      <c r="AI24" s="7"/>
      <c r="AJ24" s="7"/>
      <c r="AK24" s="7"/>
      <c r="AL24" s="7"/>
      <c r="AM24" s="7"/>
      <c r="AN24" s="7"/>
      <c r="AO24" s="7"/>
      <c r="AP24" s="7"/>
      <c r="AQ24" s="7"/>
    </row>
    <row r="25" spans="1:43" s="2" customFormat="1" x14ac:dyDescent="0.25">
      <c r="B25" s="92">
        <v>55</v>
      </c>
      <c r="C25" s="92">
        <v>0</v>
      </c>
      <c r="D25" s="3">
        <f>ROUNDUP((B4 + (B25 *5280/3600)/(2*B5 +0.644*C25)), 1)</f>
        <v>5.1999999999999993</v>
      </c>
      <c r="E25" s="15">
        <f>ROUNDUP((C4 + (B25 *5280/3600)/(2*C5 + 0.644*C25)), 1)</f>
        <v>5.0999999999999996</v>
      </c>
      <c r="F25" s="22">
        <f>ROUNDUP((D4 + (B25 *5280/3600)/(2*D5 + 0.644*C25)), 1)</f>
        <v>7.6</v>
      </c>
      <c r="G25" s="51">
        <f t="shared" si="0"/>
        <v>2.5</v>
      </c>
      <c r="H25" s="93">
        <v>20</v>
      </c>
      <c r="I25" s="6">
        <f>ROUNDUP(B4 + (((5280/3600) * (B25 - H25))/(B5 + 0.644*C25)) + ((H25 * 5280/3600)/(2*B5 + 0.644*C25)), 1)</f>
        <v>7.3999999999999995</v>
      </c>
      <c r="J25" s="47">
        <f>ROUNDUP(C4 + (((5280/3600) * (B25 - H25))/(C5 + 0.644*C25)) + ((H25 * 5280/3600)/(2*C5 + 0.644*C25)), 1)</f>
        <v>7.6</v>
      </c>
      <c r="K25" s="35">
        <f>ROUNDUP(D4 + (((5280/3600) * (B25 - H25))/(D5 + 0.644*C25)) + ((H25 * 5280/3600)/(2*D5 + 0.644*C25)), 1)</f>
        <v>10.799999999999999</v>
      </c>
      <c r="L25" s="54">
        <f t="shared" si="1"/>
        <v>3.1999999999999993</v>
      </c>
      <c r="M25" s="3">
        <f>ROUNDUP(((B25 *5280/3600)/(B5 + 32.2*SIN(ATAN(C25 * 0.01)))), 1)</f>
        <v>7.3</v>
      </c>
      <c r="N25" s="3">
        <f>ROUNDUP((B4 + (B25 *5280/3600)/(B5 + 32.2*SIN(ATAN(C25 * 0.01)))), 1)</f>
        <v>8.7999999999999989</v>
      </c>
      <c r="O25" s="3">
        <f>ROUNDUP(((B25 *5280/3600) * (B25 *5280/3600))/(2 * (B5 + 32.2*SIN(ATAN(C25 * 0.01)))), 1)</f>
        <v>290.5</v>
      </c>
      <c r="P25" s="3">
        <f>ROUNDUP(B4 * (B25 * 5280/3600) + ((B25 * 5280/3600) * (B25 *5280/3600))/(2 * (B5 + 32.2*SIN(ATAN(C25 * 0.01)))), 1)</f>
        <v>411.5</v>
      </c>
      <c r="Q25" s="31">
        <f>ROUNDUP(((B25 *5280/3600)/(C5 + 32.2*SIN(ATAN(C25 * 0.01)))), 1)</f>
        <v>8.1</v>
      </c>
      <c r="R25" s="31">
        <f>ROUNDUP((C4 + (B25 *5280/3600)/(C5 + 32.2*SIN(ATAN(C25 * 0.01)))), 1)</f>
        <v>9.1</v>
      </c>
      <c r="S25" s="31">
        <f>ROUNDUP(((B25 *5280/3600) * (B25 *5280/3600))/(2 * (C5 + 32.2*SIN(ATAN(C25 * 0.01)))), 1)</f>
        <v>325.40000000000003</v>
      </c>
      <c r="T25" s="31">
        <f>ROUNDUP(C4 * (B25 * 5280/3600) + ((B25 * 5280/3600) * (B25 *5280/3600))/(2 * (C5 + 32.2*SIN(ATAN(C25 * 0.01)))), 1)</f>
        <v>406.1</v>
      </c>
      <c r="U25" s="35">
        <f>ROUNDUP((B25*5280/3600)/(D5 + 32.2*SIN(ATAN(C25 * 0.01))), 1)</f>
        <v>10.1</v>
      </c>
      <c r="V25" s="35">
        <f>ROUNDUP((D4 + (B25 *5280/3600)/(D5 + 32.2*SIN(ATAN(C25 * 0.01)))), 1)</f>
        <v>12.6</v>
      </c>
      <c r="W25" s="35">
        <f>ROUNDUP(((B25*5280/3600) * (B25 *5280/3600))/(2 * (D5 + 32.2*SIN(ATAN(C25 * 0.01)))), 1)</f>
        <v>406.70000000000005</v>
      </c>
      <c r="X25" s="35">
        <f>ROUNDUP(D4 * (B25 * 5280/3600) + ((B25 * 5280/3600) * (B25 *5280/3600))/(2 * (D5 + 32.2*SIN(ATAN(C25 * 0.01)))), 1)</f>
        <v>608.4</v>
      </c>
      <c r="Y25" s="41"/>
      <c r="Z25" s="41"/>
      <c r="AA25" s="41"/>
      <c r="AB25" s="41"/>
      <c r="AC25" s="41"/>
      <c r="AD25" s="41"/>
      <c r="AE25" s="41"/>
      <c r="AF25" s="41"/>
      <c r="AG25" s="41"/>
      <c r="AH25" s="41"/>
      <c r="AI25" s="41"/>
      <c r="AJ25" s="41"/>
      <c r="AK25" s="41"/>
      <c r="AL25" s="41"/>
      <c r="AM25" s="41"/>
      <c r="AN25" s="41"/>
      <c r="AO25" s="41"/>
      <c r="AP25" s="41"/>
      <c r="AQ25" s="41"/>
    </row>
    <row r="26" spans="1:43" x14ac:dyDescent="0.25">
      <c r="B26" s="89">
        <v>60</v>
      </c>
      <c r="C26" s="89">
        <v>0</v>
      </c>
      <c r="D26" s="1">
        <f>ROUNDUP((B4 + (B26 *5280/3600)/(2*B5 +0.644*C26)), 1)</f>
        <v>5.5</v>
      </c>
      <c r="E26" s="16">
        <f>ROUNDUP((C4 + (B26 *5280/3600)/(2*C5 + 0.644*C26)), 1)</f>
        <v>5.4</v>
      </c>
      <c r="F26" s="23">
        <f>ROUNDUP((D4 + (B26 *5280/3600)/(2*D5 + 0.644*C26)), 1)</f>
        <v>8</v>
      </c>
      <c r="G26" s="52">
        <f t="shared" si="0"/>
        <v>2.5999999999999996</v>
      </c>
      <c r="H26" s="94">
        <v>20</v>
      </c>
      <c r="I26" s="43">
        <f>ROUNDUP(B4 + (((5280/3600) * (B26 - H26))/(B5 + 0.644*C26)) + ((H26 * 5280/3600)/(2*B5 + 0.644*C26)), 1)</f>
        <v>8.1</v>
      </c>
      <c r="J26" s="48">
        <f>ROUNDUP(C4 + (((5280/3600) * (B26 - H26))/(C5 + 0.644*C26)) + ((H26 * 5280/3600)/(2*C5 + 0.644*C26)), 1)</f>
        <v>8.4</v>
      </c>
      <c r="K26" s="27">
        <f>ROUNDUP(D4 + (((5280/3600) * (B26 - H26))/(D5 + 0.644*C26)) + ((H26 * 5280/3600)/(2*D5 + 0.644*C26)), 1)</f>
        <v>11.7</v>
      </c>
      <c r="L26" s="55">
        <f t="shared" si="1"/>
        <v>3.2999999999999989</v>
      </c>
      <c r="M26" s="1">
        <f>ROUNDUP(((B26 *5280/3600)/(B5 + 32.2*SIN(ATAN(C26 * 0.01)))), 1)</f>
        <v>7.8999999999999995</v>
      </c>
      <c r="N26" s="1">
        <f>ROUNDUP((B4 + (B26 *5280/3600)/(B5 + 32.2*SIN(ATAN(C26 * 0.01)))), 1)</f>
        <v>9.4</v>
      </c>
      <c r="O26" s="1">
        <f>ROUNDUP(((B26 *5280/3600) * (B26 *5280/3600))/(2 * (B5 + 32.2*SIN(ATAN(C26 * 0.01)))), 1)</f>
        <v>345.8</v>
      </c>
      <c r="P26" s="1">
        <f>ROUNDUP(B4 * (B26 * 5280/3600) + ((B26 * 5280/3600) * (B26 *5280/3600))/(2 * (B5 + 32.2*SIN(ATAN(C26 * 0.01)))), 1)</f>
        <v>477.8</v>
      </c>
      <c r="Q26" s="32">
        <f>ROUNDUP(((B26 *5280/3600)/(C5 + 32.2*SIN(ATAN(C26 * 0.01)))), 1)</f>
        <v>8.8000000000000007</v>
      </c>
      <c r="R26" s="32">
        <f>ROUNDUP((C4 + (B26 *5280/3600)/(C5 + 32.2*SIN(ATAN(C26 * 0.01)))), 1)</f>
        <v>9.8000000000000007</v>
      </c>
      <c r="S26" s="32">
        <f>ROUNDUP(((B26 *5280/3600) * (B26 *5280/3600))/(2 * (C5 + 32.2*SIN(ATAN(C26 * 0.01)))), 1)</f>
        <v>387.2</v>
      </c>
      <c r="T26" s="32">
        <f>ROUNDUP(C4 * (B26 * 5280/3600) + ((B26 * 5280/3600) * (B26 *5280/3600))/(2 * (C5 + 32.2*SIN(ATAN(C26 * 0.01)))), 1)</f>
        <v>475.2</v>
      </c>
      <c r="U26" s="27">
        <f>ROUNDUP((B26 *5280/3600)/(D5 + 32.2*SIN(ATAN(C26 * 0.01))), 1)</f>
        <v>11</v>
      </c>
      <c r="V26" s="27">
        <f>ROUNDUP((D4 + (B26 *5280/3600)/(D5 + 32.2*SIN(ATAN(C26 * 0.01)))), 1)</f>
        <v>13.5</v>
      </c>
      <c r="W26" s="27">
        <f>ROUNDUP(((B26 *5280/3600) * (B26 *5280/3600))/(2 * (D5 + 32.2*SIN(ATAN(C26 * 0.01)))), 1)</f>
        <v>484</v>
      </c>
      <c r="X26" s="27">
        <f>ROUNDUP(D4 * (B26* 5280/3600) + ((B26 * 5280/3600) * (B26 *5280/3600))/(2 * (D5 + 32.2*SIN(ATAN(C26 * 0.01)))), 1)</f>
        <v>704</v>
      </c>
      <c r="Y26" s="7"/>
      <c r="Z26" s="7"/>
      <c r="AA26" s="7"/>
      <c r="AB26" s="7"/>
      <c r="AC26" s="7"/>
      <c r="AD26" s="7"/>
      <c r="AE26" s="7"/>
      <c r="AF26" s="7"/>
      <c r="AG26" s="7"/>
      <c r="AH26" s="7"/>
      <c r="AI26" s="7"/>
      <c r="AJ26" s="7"/>
      <c r="AK26" s="7"/>
      <c r="AL26" s="7"/>
      <c r="AM26" s="7"/>
      <c r="AN26" s="7"/>
      <c r="AO26" s="7"/>
      <c r="AP26" s="7"/>
      <c r="AQ26" s="7"/>
    </row>
    <row r="27" spans="1:43" s="2" customFormat="1" x14ac:dyDescent="0.25">
      <c r="B27" s="92">
        <v>65</v>
      </c>
      <c r="C27" s="92">
        <v>0</v>
      </c>
      <c r="D27" s="3">
        <f>ROUNDUP((B4 + (B27 *5280/3600)/(2*B5 + 0.644*C27)), 1)</f>
        <v>5.8</v>
      </c>
      <c r="E27" s="17">
        <f>ROUNDUP((C4 + (B27 *5280/3600)/(2*C5 + 0.644*C27)), 1)</f>
        <v>5.8</v>
      </c>
      <c r="F27" s="22">
        <f>ROUNDUP((D4 + (B27 *5280/3600)/(2*D5 + 0.644*C27)), 1)</f>
        <v>8.5</v>
      </c>
      <c r="G27" s="51">
        <f t="shared" si="0"/>
        <v>2.7</v>
      </c>
      <c r="H27" s="93">
        <v>20</v>
      </c>
      <c r="I27" s="6">
        <f>ROUNDUP(B4 + (((5280/3600) * (B27 - H27))/(B5 + 0.644*C27)) + ((H27 * 5280/3600)/(2*B5 + 0.644*C27)), 1)</f>
        <v>8.7999999999999989</v>
      </c>
      <c r="J27" s="47">
        <f>ROUNDUP(C4 + (((5280/3600) * (B27 - H27))/(C5 + 0.644*C27)) + ((H27 * 5280/3600)/(2*C5 + 0.644*C27)), 1)</f>
        <v>9.1</v>
      </c>
      <c r="K27" s="35">
        <f>ROUNDUP(D4 + (((5280/3600) * (B27 - H27))/(D5 + 0.644*C27)) + ((H27 * 5280/3600)/(2*D5 + 0.644*C27)), 1)</f>
        <v>12.6</v>
      </c>
      <c r="L27" s="54">
        <f t="shared" si="1"/>
        <v>3.5</v>
      </c>
      <c r="M27" s="3">
        <f>ROUNDUP(((B27 *5280/3600)/(B5 + 32.2*SIN(ATAN(C27 * 0.01)))), 1)</f>
        <v>8.6</v>
      </c>
      <c r="N27" s="3">
        <f>ROUNDUP((B4 + (B27 *5280/3600)/(B5 + 32.2*SIN(ATAN(C27 * 0.01)))), 1)</f>
        <v>10.1</v>
      </c>
      <c r="O27" s="3">
        <f>ROUNDUP(((B27 *5280/3600) * (B27 *5280/3600))/(2 * (B5 + 32.2*SIN(ATAN(C27 * 0.01)))), 1)</f>
        <v>405.8</v>
      </c>
      <c r="P27" s="3">
        <f>ROUNDUP(B4 * (B27 * 5280/3600) + ((B27 * 5280/3600) * (B27 *5280/3600))/(2 * (B5 + 32.2*SIN(ATAN(C27 * 0.01)))), 1)</f>
        <v>548.80000000000007</v>
      </c>
      <c r="Q27" s="31">
        <f>ROUNDUP(((B27 *5280/3600)/(C5 + 32.2*SIN(ATAN(C27 * 0.01)))), 1)</f>
        <v>9.6</v>
      </c>
      <c r="R27" s="31">
        <f>ROUNDUP((C4 + (B27 *5280/3600)/(C5 + 32.2*SIN(ATAN(C27 * 0.01)))), 1)</f>
        <v>10.6</v>
      </c>
      <c r="S27" s="31">
        <f>ROUNDUP(((B27 *5280/3600) * (B27 *5280/3600))/(2 * (C5 + 32.2*SIN(ATAN(C27 * 0.01)))), 1)</f>
        <v>454.5</v>
      </c>
      <c r="T27" s="31">
        <f>ROUNDUP(C4 * (B27 * 5280/3600) + ((B27 * 5280/3600) * (B27 *5280/3600))/(2 * (C5 + 32.2*SIN(ATAN(C27 * 0.01)))), 1)</f>
        <v>549.80000000000007</v>
      </c>
      <c r="U27" s="35">
        <f>ROUNDUP((B27*5280/3600)/(D5 + 32.2*SIN(ATAN(C27 * 0.01))), 1)</f>
        <v>12</v>
      </c>
      <c r="V27" s="35">
        <f>ROUNDUP((D4 + (B27 *5280/3600)/(D5 + 32.2*SIN(ATAN(C27 * 0.01)))), 1)</f>
        <v>14.5</v>
      </c>
      <c r="W27" s="35">
        <f>ROUNDUP(((B27 *5280/3600) * (B27 *5280/3600))/(2 * (D5 + 32.2*SIN(ATAN(C27 * 0.01)))), 1)</f>
        <v>568.1</v>
      </c>
      <c r="X27" s="35">
        <f>ROUNDUP(D4 * (B27 * 5280/3600) + ((B27 * 5280/3600) * (B27 *5280/3600))/(2 * (D5 + 32.2*SIN(ATAN(C27 * 0.01)))), 1)</f>
        <v>806.4</v>
      </c>
      <c r="Y27" s="41"/>
      <c r="Z27" s="41"/>
      <c r="AA27" s="41"/>
      <c r="AB27" s="41"/>
      <c r="AC27" s="41"/>
      <c r="AD27" s="41"/>
      <c r="AE27" s="41"/>
      <c r="AF27" s="41"/>
      <c r="AG27" s="41"/>
      <c r="AH27" s="41"/>
      <c r="AI27" s="41"/>
      <c r="AJ27" s="41"/>
      <c r="AK27" s="41"/>
      <c r="AL27" s="41"/>
      <c r="AM27" s="41"/>
      <c r="AN27" s="41"/>
      <c r="AO27" s="41"/>
      <c r="AP27" s="41"/>
      <c r="AQ27" s="41"/>
    </row>
    <row r="28" spans="1:43" x14ac:dyDescent="0.25">
      <c r="E28" s="11"/>
    </row>
    <row r="29" spans="1:43" x14ac:dyDescent="0.25">
      <c r="A29" s="98" t="s">
        <v>42</v>
      </c>
    </row>
    <row r="30" spans="1:43" x14ac:dyDescent="0.25">
      <c r="A30" s="98"/>
    </row>
    <row r="31" spans="1:43" x14ac:dyDescent="0.25">
      <c r="A31" s="99" t="s">
        <v>43</v>
      </c>
    </row>
    <row r="32" spans="1:43" s="97" customFormat="1" x14ac:dyDescent="0.25">
      <c r="A32" s="97" t="s">
        <v>57</v>
      </c>
    </row>
    <row r="33" spans="1:1" s="97" customFormat="1" x14ac:dyDescent="0.25">
      <c r="A33" s="101" t="s">
        <v>44</v>
      </c>
    </row>
    <row r="34" spans="1:1" s="97" customFormat="1" x14ac:dyDescent="0.25">
      <c r="A34" s="101"/>
    </row>
    <row r="35" spans="1:1" s="97" customFormat="1" x14ac:dyDescent="0.25">
      <c r="A35" s="97" t="s">
        <v>63</v>
      </c>
    </row>
    <row r="36" spans="1:1" s="97" customFormat="1" x14ac:dyDescent="0.25">
      <c r="A36" s="97" t="s">
        <v>45</v>
      </c>
    </row>
    <row r="37" spans="1:1" s="97" customFormat="1" x14ac:dyDescent="0.25">
      <c r="A37" s="97" t="s">
        <v>46</v>
      </c>
    </row>
    <row r="38" spans="1:1" s="97" customFormat="1" x14ac:dyDescent="0.25">
      <c r="A38" s="101" t="s">
        <v>47</v>
      </c>
    </row>
    <row r="39" spans="1:1" s="97" customFormat="1" x14ac:dyDescent="0.25">
      <c r="A39" s="100" t="s">
        <v>58</v>
      </c>
    </row>
    <row r="40" spans="1:1" s="97" customFormat="1" x14ac:dyDescent="0.25">
      <c r="A40" s="97" t="s">
        <v>48</v>
      </c>
    </row>
    <row r="41" spans="1:1" s="97" customFormat="1" x14ac:dyDescent="0.25"/>
    <row r="42" spans="1:1" x14ac:dyDescent="0.25">
      <c r="A42" t="s">
        <v>49</v>
      </c>
    </row>
    <row r="43" spans="1:1" x14ac:dyDescent="0.25">
      <c r="A43" t="s">
        <v>59</v>
      </c>
    </row>
    <row r="44" spans="1:1" x14ac:dyDescent="0.25">
      <c r="A44" s="97" t="s">
        <v>50</v>
      </c>
    </row>
    <row r="45" spans="1:1" x14ac:dyDescent="0.25">
      <c r="A45" s="97"/>
    </row>
    <row r="46" spans="1:1" x14ac:dyDescent="0.25">
      <c r="A46" t="s">
        <v>51</v>
      </c>
    </row>
    <row r="47" spans="1:1" x14ac:dyDescent="0.25">
      <c r="A47" s="102" t="s">
        <v>52</v>
      </c>
    </row>
    <row r="48" spans="1:1" x14ac:dyDescent="0.25">
      <c r="A48" s="102" t="s">
        <v>68</v>
      </c>
    </row>
    <row r="49" spans="1:24" x14ac:dyDescent="0.25">
      <c r="A49" t="s">
        <v>60</v>
      </c>
    </row>
    <row r="50" spans="1:24" x14ac:dyDescent="0.25">
      <c r="A50" t="s">
        <v>53</v>
      </c>
    </row>
    <row r="51" spans="1:24" x14ac:dyDescent="0.25">
      <c r="A51" t="s">
        <v>54</v>
      </c>
    </row>
    <row r="52" spans="1:24" s="7" customFormat="1" x14ac:dyDescent="0.25">
      <c r="A52" s="37" t="s">
        <v>66</v>
      </c>
      <c r="B52" s="37"/>
      <c r="C52" s="37"/>
      <c r="D52" s="37"/>
      <c r="E52" s="37"/>
      <c r="F52" s="37"/>
      <c r="G52" s="37"/>
      <c r="H52" s="37"/>
      <c r="I52" s="37"/>
      <c r="J52" s="37"/>
      <c r="K52" s="37"/>
      <c r="L52" s="37"/>
      <c r="M52" s="37"/>
      <c r="N52" s="37"/>
      <c r="O52" s="37"/>
      <c r="P52" s="37"/>
      <c r="Q52" s="37"/>
      <c r="R52" s="37"/>
      <c r="S52" s="37"/>
      <c r="T52" s="37"/>
      <c r="U52" s="37"/>
      <c r="V52" s="37"/>
      <c r="W52" s="37"/>
      <c r="X52" s="37"/>
    </row>
    <row r="53" spans="1:24" s="7" customFormat="1" x14ac:dyDescent="0.25">
      <c r="A53" s="37" t="s">
        <v>67</v>
      </c>
      <c r="B53" s="37"/>
      <c r="C53" s="37"/>
      <c r="D53" s="37"/>
      <c r="E53" s="37"/>
      <c r="F53" s="37"/>
      <c r="G53" s="37"/>
      <c r="H53" s="37"/>
      <c r="I53" s="37"/>
      <c r="J53" s="37"/>
      <c r="K53" s="37"/>
      <c r="L53" s="37"/>
      <c r="M53" s="37"/>
      <c r="N53" s="37"/>
      <c r="O53" s="37"/>
      <c r="P53" s="37"/>
      <c r="Q53" s="37"/>
      <c r="R53" s="37"/>
      <c r="S53" s="37"/>
      <c r="T53" s="37"/>
      <c r="U53" s="37"/>
      <c r="V53" s="37"/>
      <c r="W53" s="37"/>
      <c r="X53" s="37"/>
    </row>
    <row r="54" spans="1:24" s="7" customFormat="1" x14ac:dyDescent="0.25">
      <c r="A54" s="37" t="s">
        <v>55</v>
      </c>
      <c r="B54" s="37"/>
      <c r="C54" s="37"/>
      <c r="D54" s="37"/>
      <c r="E54" s="37"/>
      <c r="F54" s="37"/>
      <c r="G54" s="37"/>
      <c r="H54" s="37"/>
      <c r="I54" s="37"/>
      <c r="J54" s="37"/>
      <c r="K54" s="37"/>
      <c r="L54" s="37"/>
      <c r="M54" s="37"/>
      <c r="N54" s="37"/>
      <c r="O54" s="37"/>
      <c r="P54" s="37"/>
      <c r="Q54" s="37"/>
      <c r="R54" s="37"/>
      <c r="S54" s="37"/>
      <c r="T54" s="37"/>
      <c r="U54" s="37"/>
      <c r="V54" s="37"/>
      <c r="W54" s="37"/>
      <c r="X54" s="37"/>
    </row>
    <row r="55" spans="1:24" s="7" customFormat="1" x14ac:dyDescent="0.25">
      <c r="A55" s="37" t="s">
        <v>69</v>
      </c>
      <c r="B55" s="37"/>
      <c r="C55" s="37"/>
      <c r="D55" s="37"/>
      <c r="E55" s="37"/>
      <c r="F55" s="37"/>
      <c r="G55" s="37"/>
      <c r="H55" s="37"/>
      <c r="I55" s="37"/>
      <c r="J55" s="37"/>
      <c r="K55" s="37"/>
      <c r="L55" s="37"/>
      <c r="M55" s="37"/>
      <c r="N55" s="37"/>
      <c r="O55" s="37"/>
      <c r="P55" s="37"/>
      <c r="Q55" s="37"/>
      <c r="R55" s="37"/>
      <c r="S55" s="37"/>
      <c r="T55" s="37"/>
      <c r="U55" s="37"/>
      <c r="V55" s="37"/>
      <c r="W55" s="37"/>
      <c r="X55" s="37"/>
    </row>
    <row r="56" spans="1:24" s="7" customFormat="1" x14ac:dyDescent="0.25"/>
    <row r="57" spans="1:24" s="97" customFormat="1" x14ac:dyDescent="0.25">
      <c r="A57" s="96" t="s">
        <v>56</v>
      </c>
    </row>
    <row r="58" spans="1:24" s="97" customFormat="1" x14ac:dyDescent="0.25">
      <c r="A58" s="96"/>
    </row>
    <row r="59" spans="1:24" s="97" customFormat="1" x14ac:dyDescent="0.25">
      <c r="A59" s="96"/>
    </row>
    <row r="60" spans="1:24" x14ac:dyDescent="0.25">
      <c r="A60" t="s">
        <v>10</v>
      </c>
    </row>
    <row r="61" spans="1:24" x14ac:dyDescent="0.25">
      <c r="A61" t="s">
        <v>7</v>
      </c>
    </row>
    <row r="62" spans="1:24" x14ac:dyDescent="0.25">
      <c r="A62" t="s">
        <v>8</v>
      </c>
    </row>
    <row r="63" spans="1:24" x14ac:dyDescent="0.25">
      <c r="A63" t="s">
        <v>5</v>
      </c>
    </row>
    <row r="64" spans="1:24" x14ac:dyDescent="0.25">
      <c r="A64" t="s">
        <v>6</v>
      </c>
    </row>
    <row r="65" spans="1:1" x14ac:dyDescent="0.25">
      <c r="A65" s="102" t="s">
        <v>9</v>
      </c>
    </row>
    <row r="67" spans="1:1" x14ac:dyDescent="0.25">
      <c r="A67" t="s">
        <v>70</v>
      </c>
    </row>
  </sheetData>
  <sheetProtection algorithmName="SHA-512" hashValue="SUz/B6aRdiLDOXa5mNsyx4Vz0O3grCFDuE35hTA+ritmJPztJuNFhHnWg+6rRhMX7ceYqJu+U1zxo6TBdDtvjg==" saltValue="9TiGgLNk5VZp3U05qlMzzw==" spinCount="100000" sheet="1" objects="1" scenarios="1" selectLockedCells="1"/>
  <hyperlinks>
    <hyperlink ref="A47" r:id="rId1" display="3.  Turning and Impeded Thru-Movements when Vo &gt; Ve.   ITE Extended Kinematic Equation by Mats Jarlstrom" xr:uid="{07088E8B-0125-4C10-8A56-730848A99B75}"/>
    <hyperlink ref="A48" r:id="rId2" display="4.  The tolerance or red-light camera delay is Commercial Vehicle Yellow Change Interval  - ITE Yellow Change Interval because commercial vehicles are the slowest vehicles allowed on the road.   Passenger sedans with older drivers have the same attributes as commercial vehicle drivers." xr:uid="{CB0F1ADE-4190-464B-ADA6-6CA3C21B4B8A}"/>
    <hyperlink ref="A65" r:id="rId3" xr:uid="{67042B6F-4009-4876-BCA6-755FC4770166}"/>
    <hyperlink ref="A38" r:id="rId4" display="6.  Example 3 of an Impeded Vehicle:   Car A is approaching intersection and there is car B on the far side of the intersection pulling out of a gas station.    Car must slow down to avoid hitting car A.     Car A is inside the critical distance.    " xr:uid="{4776D9F4-420B-4E0D-9F6E-5B3DA31C260E}"/>
    <hyperlink ref="A33" r:id="rId5" display="3.  The critical distance is the same distance regardless of lane, and independent of the existence of a turning bay.     The length of the turning bay is irrelevant for cars can just scoot over into the turning bay." xr:uid="{FC170D61-A4CD-42A3-A5C9-39828974FF39}"/>
  </hyperlinks>
  <pageMargins left="0.7" right="0.7" top="0.75" bottom="0.75" header="0.3" footer="0.3"/>
  <pageSetup paperSize="3" fitToHeight="0" orientation="landscape" horizontalDpi="4294967293"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Talus Music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Ceccarelli</dc:creator>
  <cp:lastModifiedBy>bceccarelli</cp:lastModifiedBy>
  <cp:lastPrinted>2010-12-01T13:18:39Z</cp:lastPrinted>
  <dcterms:created xsi:type="dcterms:W3CDTF">2009-12-05T18:38:03Z</dcterms:created>
  <dcterms:modified xsi:type="dcterms:W3CDTF">2020-03-31T02:10:46Z</dcterms:modified>
</cp:coreProperties>
</file>